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明细表" sheetId="1" r:id="rId1"/>
  </sheets>
  <externalReferences>
    <externalReference r:id="rId2"/>
    <externalReference r:id="rId3"/>
  </externalReferences>
  <definedNames>
    <definedName name="_xlnm.Print_Titles" localSheetId="0">明细表!$4:$5</definedName>
    <definedName name="_xlnm._FilterDatabase" localSheetId="0" hidden="1">明细表!$A$70:$P$70</definedName>
  </definedNames>
  <calcPr calcId="144525"/>
</workbook>
</file>

<file path=xl/sharedStrings.xml><?xml version="1.0" encoding="utf-8"?>
<sst xmlns="http://schemas.openxmlformats.org/spreadsheetml/2006/main" count="4481" uniqueCount="1326">
  <si>
    <t>附件</t>
  </si>
  <si>
    <t>中方县2020年度涉农资金统筹整合扶贫资金项目实施计划</t>
  </si>
  <si>
    <t xml:space="preserve">                                                                                                                                                                                               单位：万元、人</t>
  </si>
  <si>
    <t>序号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</si>
  <si>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</si>
  <si>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</si>
  <si>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</si>
  <si>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</si>
  <si>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</si>
  <si>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</si>
  <si>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</si>
  <si>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</t>
  </si>
  <si>
    <t>筹资方式</t>
  </si>
  <si>
    <t>受益对象</t>
  </si>
  <si>
    <t>绩效目标</t>
  </si>
  <si>
    <t>计划开工时间</t>
  </si>
  <si>
    <t>计划完工时间</t>
  </si>
  <si>
    <t>贫困人口</t>
  </si>
  <si>
    <t>非贫困人口</t>
  </si>
  <si>
    <t>合 计</t>
  </si>
  <si>
    <t>生产发展</t>
  </si>
  <si>
    <t>小额信贷贴息</t>
  </si>
  <si>
    <t>金融扶贫</t>
  </si>
  <si>
    <t>新建</t>
  </si>
  <si>
    <t>中方县</t>
  </si>
  <si>
    <t>2020年2月</t>
  </si>
  <si>
    <t>2020年12底</t>
  </si>
  <si>
    <t>县财政局、县扶贫办、县农商行</t>
  </si>
  <si>
    <t>建档立卡贫困户申请扶贫小额信贷全额贴息</t>
  </si>
  <si>
    <t>整合使用涉农扶贫资金</t>
  </si>
  <si>
    <t>预计带动12962人通过发展产业实现脱贫致富</t>
  </si>
  <si>
    <t>职业学历补助</t>
  </si>
  <si>
    <t>雨露计划</t>
  </si>
  <si>
    <t>全县各乡镇</t>
  </si>
  <si>
    <t>县扶贫办</t>
  </si>
  <si>
    <t>帮扶840名建档立卡贫困学生</t>
  </si>
  <si>
    <t>财政统筹整合资金</t>
  </si>
  <si>
    <t>创业致富带头人培训</t>
  </si>
  <si>
    <t>培训</t>
  </si>
  <si>
    <t>根据省办文件指标（待发）</t>
  </si>
  <si>
    <t>帮扶30名建档立卡贫困户学习技能</t>
  </si>
  <si>
    <t>产业奖补</t>
  </si>
  <si>
    <t>后续扶持</t>
  </si>
  <si>
    <t>全县区域</t>
  </si>
  <si>
    <t>易地扶贫搬迁联席办</t>
  </si>
  <si>
    <t>按中方〔2019〕1号文件规定进行奖补</t>
  </si>
  <si>
    <t>解决搬迁后续扶持</t>
  </si>
  <si>
    <t>优质稻基地改造提升</t>
  </si>
  <si>
    <t>产业扶贫</t>
  </si>
  <si>
    <t>县农业农村局</t>
  </si>
  <si>
    <t>完成泸阳镇细缅垅丶新店坪、聂家村、桥上、下坪、白洋坪，铜湾镇思坪、重义溪、桐木、堆子、费家田、渡江坡，铜鼎镇砖墙脚、和村、青市、江坡，铁坡镇活水等村2万亩优质稻基地机耕道、渠道建设。</t>
  </si>
  <si>
    <t>受益优质稻面积2万亩，受益贫困人口1.3万人</t>
  </si>
  <si>
    <t>农产品营销及品牌创建</t>
  </si>
  <si>
    <t>对有产业基础的贫困地区开展农产品促销和品牌认证奖补</t>
  </si>
  <si>
    <t>通过农产品产销促销和品牌认证，提高贫困群众农产品价值，使贫困群众整体受益</t>
  </si>
  <si>
    <t>板溪村贫困户自主发展项目</t>
  </si>
  <si>
    <t>铁坡镇板溪村</t>
  </si>
  <si>
    <t>村支两委</t>
  </si>
  <si>
    <t>板溪村贫困户自主发展项目金银花34.5亩，2.76万元，油茶20亩，3万元</t>
  </si>
  <si>
    <t>受益贫困户28户，85人。中药材种植项目丰产正常年份，产量每亩500斤、收益每亩2000元，油茶20亩丰产正常年份，产量每亩60斤，收益每亩3000元。</t>
  </si>
  <si>
    <t>活水村贫困户自主发展项目</t>
  </si>
  <si>
    <t>铁坡镇活水村</t>
  </si>
  <si>
    <t>金银花104.7亩</t>
  </si>
  <si>
    <t>受益贫困户35户，68人。丰产正常年份，产量每亩500斤、收益每亩2000元</t>
  </si>
  <si>
    <t>江坪村贫困户自主发展项目</t>
  </si>
  <si>
    <t>铁坡镇江坪村</t>
  </si>
  <si>
    <t>新建金银花基地57亩</t>
  </si>
  <si>
    <t>受益贫困户43户，130人,丰产正常年份，产量每亩500斤、收益每亩2000元。</t>
  </si>
  <si>
    <t>金银村贫困户自主发展项目</t>
  </si>
  <si>
    <t>铁坡镇金银村　</t>
  </si>
  <si>
    <t>新建金银花项目44亩</t>
  </si>
  <si>
    <t>受益贫困户32户,96人.丰产正常年份，产量每亩500斤、收益每亩2000元</t>
  </si>
  <si>
    <t>锦溪村贫困户自主发展项目</t>
  </si>
  <si>
    <t>铁坡镇锦溪村</t>
  </si>
  <si>
    <t>新建油茶56亩，8.4万元，新建金银花19亩1.52万元</t>
  </si>
  <si>
    <t>新建油茶56亩，丰产正常年份，产量每亩60斤，收益每亩3000元金银花19亩丰产正常年份，产量每亩500斤、收益每亩2000元，共受益贫困户30户，92人</t>
  </si>
  <si>
    <t>梨花村贫困户自主发展项目</t>
  </si>
  <si>
    <t>铁坡镇梨花村</t>
  </si>
  <si>
    <t>黄桃50.5亩，金秋梨10.7亩，共计4.896万元，金银花306.1亩，24.488万元</t>
  </si>
  <si>
    <t>受益贫困户121户，多364人，丰产正常年份，产量每亩3000斤、收益每亩3000元，</t>
  </si>
  <si>
    <t>培丰村贫困户自主发展项目</t>
  </si>
  <si>
    <t>铁坡镇培丰村</t>
  </si>
  <si>
    <t>新建黄桃20亩，1.6万元，金银花101亩8.08万元</t>
  </si>
  <si>
    <t>新建黄桃20亩，丰产正常年份，产量每亩3000斤、收益每亩3000元，金银花101亩，丰产正常年份，产量每亩500斤、收益每亩2000元，</t>
  </si>
  <si>
    <t>贫困户自主发展项目</t>
  </si>
  <si>
    <t>铁坡镇铁坡村</t>
  </si>
  <si>
    <t>新建油茶43亩，6.45万元，金银花17亩，1.36万元</t>
  </si>
  <si>
    <t>受益贫困户28户85人，丰产正常年份，产量每亩60斤，收益每亩3000元，</t>
  </si>
  <si>
    <t>阳丰村贫困户自主发展项目</t>
  </si>
  <si>
    <t>铁坡镇阳丰村</t>
  </si>
  <si>
    <t>新建油茶60亩，9万元，新建金银花15亩，1.2万元</t>
  </si>
  <si>
    <t>。丰产正常年份，产量每亩60斤，收益每亩3000元，新建金银花15亩，丰产正常年份，产量每亩500斤、收益每亩2000元，受益贫困户27户。82人。</t>
  </si>
  <si>
    <t>杨柳村贫困户自主发展项目</t>
  </si>
  <si>
    <t>铁坡镇杨柳村</t>
  </si>
  <si>
    <t>新建油茶基地15.5亩，</t>
  </si>
  <si>
    <t>受益贫困户15户48人，丰产正常年份，产量每亩60斤，收益每亩3000元，</t>
  </si>
  <si>
    <t>大松坡村贫困户自主发展项目</t>
  </si>
  <si>
    <t>新建　</t>
  </si>
  <si>
    <t>桐木镇大松坡村铲子湾　</t>
  </si>
  <si>
    <t>新建水蜜桃基地1.5亩、柑桔　 1亩　</t>
  </si>
  <si>
    <t>受益贫困3户，8人。人均增收20％</t>
  </si>
  <si>
    <t>桐木村贫困户自主发展项目</t>
  </si>
  <si>
    <t>桐木镇桐木村张家溪组　</t>
  </si>
  <si>
    <t>2020.12</t>
  </si>
  <si>
    <t>新建百合基地18亩　</t>
  </si>
  <si>
    <t>受益贫困户1户4人。预计采收后增加家庭收入九万元</t>
  </si>
  <si>
    <t>半界村贫困户自主发展项目</t>
  </si>
  <si>
    <t>桐木镇半界村坎上组</t>
  </si>
  <si>
    <t>2020.2.1</t>
  </si>
  <si>
    <t>2020.6.1</t>
  </si>
  <si>
    <t>新建10亩优质茶园，1.5万元，新建桃园3亩，0.24万元</t>
  </si>
  <si>
    <t>受益贫困户5户,11人　</t>
  </si>
  <si>
    <t>楠木铺村贫困户自主发展项目</t>
  </si>
  <si>
    <t>桐木镇楠木铺村</t>
  </si>
  <si>
    <t>新建优质水果生产基地96亩，7.68万元，新建大棚蔬菜种植12亩6万元　</t>
  </si>
  <si>
    <t>受益贫困户12户,38人</t>
  </si>
  <si>
    <t>桐坪村贫困户自主发展项目</t>
  </si>
  <si>
    <t>桐木镇桐坪村　</t>
  </si>
  <si>
    <t>2020.3.9</t>
  </si>
  <si>
    <t>2020.6.10　</t>
  </si>
  <si>
    <t>新建草莓基地8亩</t>
  </si>
  <si>
    <t>收益贫困户2户4人</t>
  </si>
  <si>
    <t>龙场村贫困户自主发展项目</t>
  </si>
  <si>
    <t>花桥镇龙场村　</t>
  </si>
  <si>
    <t>2020.3</t>
  </si>
  <si>
    <t>新建蔬菜钢架大棚基地3亩　</t>
  </si>
  <si>
    <t>受益贫困户1户，3人</t>
  </si>
  <si>
    <t>洞竹山村贫困户自主发展项目</t>
  </si>
  <si>
    <t>花桥镇洞竹山</t>
  </si>
  <si>
    <t>2020.3.1</t>
  </si>
  <si>
    <t>2020.3.12</t>
  </si>
  <si>
    <t>新建油茶基地30亩</t>
  </si>
  <si>
    <t>受益贫困户35户，107人。丰产正常年份，产量每亩60斤、收益每亩3000元，</t>
  </si>
  <si>
    <t>双龙溪村贫困户自主发展项目</t>
  </si>
  <si>
    <t>花桥镇双龙溪村　</t>
  </si>
  <si>
    <t>新建西瓜大棚30亩</t>
  </si>
  <si>
    <t>受益贫困户2户6人。</t>
  </si>
  <si>
    <t>鱼龙桥村贫困户自主发展产业项目</t>
  </si>
  <si>
    <t>新路河镇鱼龙桥村</t>
  </si>
  <si>
    <t>新建中药材基地10亩</t>
  </si>
  <si>
    <t>受益贫困户2户5人</t>
  </si>
  <si>
    <t>澄渡江村贫困户自主发展产业项目</t>
  </si>
  <si>
    <t>新路河镇澄渡江村</t>
  </si>
  <si>
    <t>新建水果基地46.2亩</t>
  </si>
  <si>
    <t>受益贫困户23户，69人</t>
  </si>
  <si>
    <t>大竹村贫困户自主发展产业项目</t>
  </si>
  <si>
    <t>新路河镇大竹村</t>
  </si>
  <si>
    <t>新建水果基地47亩</t>
  </si>
  <si>
    <t>受益贫困户43户，130人</t>
  </si>
  <si>
    <t>坪坳村贫困户自主发展产业项目</t>
  </si>
  <si>
    <t>新路河镇坪坳村</t>
  </si>
  <si>
    <t>新建中药材种基地5.5亩</t>
  </si>
  <si>
    <t>受益贫困户2户，6人</t>
  </si>
  <si>
    <t>沅溪村贫困户自主发展项目</t>
  </si>
  <si>
    <t>新路河镇沅溪村</t>
  </si>
  <si>
    <t>新建水果基地46亩，3.68万元，新建中药材基地20亩，1.6万元，</t>
  </si>
  <si>
    <t>受益贫困户16户，49人</t>
  </si>
  <si>
    <t>新路河村贫困户自主发展产业项目</t>
  </si>
  <si>
    <t>新路河镇新路河村</t>
  </si>
  <si>
    <t>新建水果基地7亩</t>
  </si>
  <si>
    <t>受益贫困户4户，14人</t>
  </si>
  <si>
    <t>黄龙坪村贫困户自主发展产业项目</t>
  </si>
  <si>
    <t>新路河镇黄龙坪村</t>
  </si>
  <si>
    <t>新建水果基地3亩</t>
  </si>
  <si>
    <t>受益贫困户1户，5人</t>
  </si>
  <si>
    <t>竹元头村贫困户自主发展项目</t>
  </si>
  <si>
    <t>铜湾镇竹元头村</t>
  </si>
  <si>
    <t>新建黄桃基地30亩</t>
  </si>
  <si>
    <t>受益贫困户15户，45人</t>
  </si>
  <si>
    <t>梅树村贫困户自主发展项目</t>
  </si>
  <si>
    <t>铜湾镇梅树村</t>
  </si>
  <si>
    <t>新建油茶基地15亩</t>
  </si>
  <si>
    <t>受益贫困户15户，45人。优质油茶种植，年增收2万元</t>
  </si>
  <si>
    <t>费家田村贫困户自主发展项目</t>
  </si>
  <si>
    <t>铜湾镇费家田村　</t>
  </si>
  <si>
    <t>新建水果基地56亩　</t>
  </si>
  <si>
    <t>受益贫困户3户，8人贫困户年增收2万元</t>
  </si>
  <si>
    <t>铜湾村贫困户自主发展项目</t>
  </si>
  <si>
    <t>铜湾镇铜湾村</t>
  </si>
  <si>
    <t>新建西瓜基地20亩</t>
  </si>
  <si>
    <t>受益贫困户3户，8人、贫困户年增收3万元</t>
  </si>
  <si>
    <t>康龙村贫困户自主发展产业项目</t>
  </si>
  <si>
    <t>新建镇康龙村</t>
  </si>
  <si>
    <t>新建鱼腥草基地29亩，新建尤良蜜桔8亩</t>
  </si>
  <si>
    <t>受益贫困户12户35人。发展鱼腥草的贫困户每亩增收2500元，增加种植户产业收益。尤良蜜桔丰产期，每亩增收5000元</t>
  </si>
  <si>
    <t>新建村贫困户自主发展产业项目</t>
  </si>
  <si>
    <t>新建镇新建村</t>
  </si>
  <si>
    <t>新建葡萄1亩，优质油茶6亩，黄金贡柚2亩</t>
  </si>
  <si>
    <t>受益贫困户5户，15人。葡萄丰产一亩增收5000元；优质油茶丰产每亩增收1000元；黄金贡柚每亩增产5000元</t>
  </si>
  <si>
    <t>牛眠口村贫困户自主发展产业项目</t>
  </si>
  <si>
    <t>新建镇牛眠口村</t>
  </si>
  <si>
    <t>新建鱼腥草2亩、鱼腥草2亩、罗汉果10亩</t>
  </si>
  <si>
    <t>受益贫困户3户6人。发展鱼腥草的贫困户每亩增收2500元，罗汉果每亩增收2000元。</t>
  </si>
  <si>
    <t>四卧龙村贫困户自主发展产业项目</t>
  </si>
  <si>
    <t>产业项目</t>
  </si>
  <si>
    <t>新建镇四卧龙村</t>
  </si>
  <si>
    <t>新建鱼腥草2.5亩，0.2万元，油茶14亩，2.1万元，中药材黑老虎2.5亩0.2万元</t>
  </si>
  <si>
    <t>受益贫困户2户，10人。发展鱼腥草的贫困户每亩增收2500元；优质油茶丰产每亩增收1000元</t>
  </si>
  <si>
    <t>黑禾田村贫困户自主发展以产业项目</t>
  </si>
  <si>
    <t>袁家镇袁家村</t>
  </si>
  <si>
    <t>新建鱼腥草20亩</t>
  </si>
  <si>
    <t>受益贫困户3户，6人发展鱼腥草的贫困户每亩增收2500元</t>
  </si>
  <si>
    <t>岩头元村贫困户自主发项目</t>
  </si>
  <si>
    <t>中方镇岩头元村</t>
  </si>
  <si>
    <t>新建中药材基地12亩，0.96万元，新建水果基地3亩，0.24万元</t>
  </si>
  <si>
    <t>受益贫困户20户，32人</t>
  </si>
  <si>
    <t>和安社区贫困户自主发项目</t>
  </si>
  <si>
    <t>中方镇和安社区　</t>
  </si>
  <si>
    <t>新建蔬菜大棚3亩　</t>
  </si>
  <si>
    <t>泸西村贫困户自主发展项目</t>
  </si>
  <si>
    <t>泸阳镇泸西村</t>
  </si>
  <si>
    <t>2020..4</t>
  </si>
  <si>
    <t>新建西瓜基地9亩</t>
  </si>
  <si>
    <t>受益贫困户2户，5人</t>
  </si>
  <si>
    <t>新建葡萄基地7亩</t>
  </si>
  <si>
    <t>受益贫困户3户，9人</t>
  </si>
  <si>
    <t>细面垅村贫困户自主发展项目</t>
  </si>
  <si>
    <t xml:space="preserve">泸阳镇细面垅村
</t>
  </si>
  <si>
    <t>新建黄金贡柚基地
80亩</t>
  </si>
  <si>
    <t xml:space="preserve">受益贫困户4户，13人
</t>
  </si>
  <si>
    <t>五里村贫困户自主发展项目</t>
  </si>
  <si>
    <t>泸阳镇五里村</t>
  </si>
  <si>
    <t>新建西瓜基地28亩</t>
  </si>
  <si>
    <t>受益贫困户2户，8人</t>
  </si>
  <si>
    <t>三岔溪村贫困户自主发展产业项目</t>
  </si>
  <si>
    <t>蒿吉坪乡三岔溪村</t>
  </si>
  <si>
    <t>新建油茶基地20亩</t>
  </si>
  <si>
    <t>受益贫困户9户，22人。油茶种植每亩增收2000元</t>
  </si>
  <si>
    <t>罗洪村贫困户自主发展产业项目</t>
  </si>
  <si>
    <t>蒿吉坪乡罗洪村</t>
  </si>
  <si>
    <t>新建油茶基地62.5亩</t>
  </si>
  <si>
    <t>受益贫困户5户，19人，油茶种植每亩增收2000元左右　</t>
  </si>
  <si>
    <t>桃江村贫困户自主发展产业项目</t>
  </si>
  <si>
    <t>蒿吉坪乡桃江村</t>
  </si>
  <si>
    <t>新建油茶基地25亩，3.75万元，金银花3亩0.24万元</t>
  </si>
  <si>
    <t>受益贫困户9户，31人。油茶种植每亩增收2000元左右，金银花每亩增收2200元　</t>
  </si>
  <si>
    <t>助溪村贫困户自主发展产业项目</t>
  </si>
  <si>
    <t>蒿吉坪乡助溪村</t>
  </si>
  <si>
    <t>新建金银花种植基地20亩</t>
  </si>
  <si>
    <t>受益贫困户1户，6人。金银花每亩增收2200元</t>
  </si>
  <si>
    <t>吉都堂村贫困户自主发展项目</t>
  </si>
  <si>
    <t>蒿吉坪乡吉都堂村</t>
  </si>
  <si>
    <t>新建油茶基地20亩，3万元。青钱柳27亩，2.16万元。金银花4亩0.32万元</t>
  </si>
  <si>
    <t>受益贫困户5户，22人</t>
  </si>
  <si>
    <t>袁家村贫困户自主发展项目</t>
  </si>
  <si>
    <t>新建油茶基地6亩，0.9万元，中药材6亩。0.48万元</t>
  </si>
  <si>
    <t>受益贫困户7户，14人。预计三年后挂果，第四年开始收益</t>
  </si>
  <si>
    <t>蒋家村贫困户自主发展项目</t>
  </si>
  <si>
    <t>袁家镇蒋家村　</t>
  </si>
  <si>
    <t>鱼腥草新建基地51亩　</t>
  </si>
  <si>
    <t>受益贫困户12户，36人。预计亩产收入1万元，全年收入51万元　</t>
  </si>
  <si>
    <t>坳头村贫困户自主发展项目</t>
  </si>
  <si>
    <t>袁家镇坳头村　</t>
  </si>
  <si>
    <t>新建鱼腥草项目128亩　</t>
  </si>
  <si>
    <t>预计受益贫困户35户，82人。预计亩产收入1万元，全年收入128万元</t>
  </si>
  <si>
    <t>上炉村贫困户自主发展项目</t>
  </si>
  <si>
    <t>袁家镇上炉村　</t>
  </si>
  <si>
    <t>新建大棚西瓜14亩，1.12万元，新建高山葡萄基地2亩，0.16万元</t>
  </si>
  <si>
    <t>受益贫困户4户，11人。预计亩产收入0.45万元，全年收入26.3万元</t>
  </si>
  <si>
    <t>桂花村贫困户自主发展项目</t>
  </si>
  <si>
    <t>袁家镇桂花村　</t>
  </si>
  <si>
    <t>新建大棚西瓜26亩、2.08万元。火龙果14亩、1.12万元。冬桃65亩5.2万元</t>
  </si>
  <si>
    <t>受益贫困户5户，13人，预计亩产收入0.5万元，全年收入52.5万元　</t>
  </si>
  <si>
    <t>和坪村贫困户自主发展项目</t>
  </si>
  <si>
    <t>泸阳镇和平村</t>
  </si>
  <si>
    <t>新建大棚西瓜10亩</t>
  </si>
  <si>
    <t>受益贫困户1户，2人项目实施后，人均纯收入增加1000元</t>
  </si>
  <si>
    <t>泸阳镇、铁坡镇2019年第二次贫困户奖补自主发展资金</t>
  </si>
  <si>
    <t>泸阳镇、铁坡镇</t>
  </si>
  <si>
    <t>补发泸阳镇2019年第二次奖补21900元，铁坡镇2019年第二次奖补59013元</t>
  </si>
  <si>
    <t>巩固脱贫人口稳定增收</t>
  </si>
  <si>
    <t>农村基础设施建设</t>
  </si>
  <si>
    <t>一</t>
  </si>
  <si>
    <t>危房改造　</t>
  </si>
  <si>
    <t>基础设施</t>
  </si>
  <si>
    <t>新建维修</t>
  </si>
  <si>
    <t>县住建局　</t>
  </si>
  <si>
    <t>对农户进行C、D级危房改造　</t>
  </si>
  <si>
    <t>整合资金+县财政自筹</t>
  </si>
  <si>
    <t>90人</t>
  </si>
  <si>
    <t>6人</t>
  </si>
  <si>
    <t>完成贫困户和边缘户危房改造</t>
  </si>
  <si>
    <t>二</t>
  </si>
  <si>
    <t>农村饮水安全及水利设施建设</t>
  </si>
  <si>
    <t>（一）农村饮水安全</t>
  </si>
  <si>
    <t xml:space="preserve"> </t>
  </si>
  <si>
    <t>泸阳镇白洋坪村溪口水源工程</t>
  </si>
  <si>
    <t>改造</t>
  </si>
  <si>
    <t>白洋坪村</t>
  </si>
  <si>
    <t>2020年4月</t>
  </si>
  <si>
    <t>2020年6月</t>
  </si>
  <si>
    <t>新建取水工程（打井），铺设输水管道</t>
  </si>
  <si>
    <t>整合资金</t>
  </si>
  <si>
    <t>农村居民能够及时、方便地获得足量、洁净负担得起的生活饮用水</t>
  </si>
  <si>
    <t>泸阳镇泸西村岩子园水源工程</t>
  </si>
  <si>
    <t>泸西村</t>
  </si>
  <si>
    <t>新建取水工程，输水工程</t>
  </si>
  <si>
    <t>泸阳镇和平村巩固提升工程</t>
  </si>
  <si>
    <t>和平村</t>
  </si>
  <si>
    <t>新建取水，水池及输、配水工程</t>
  </si>
  <si>
    <t>花桥村宋家塘组、利家坡组、下背脑组饮水工程</t>
  </si>
  <si>
    <t>花桥村</t>
  </si>
  <si>
    <t>新建镇黑禾田村1组饮水工程</t>
  </si>
  <si>
    <t>新建镇黒禾田村</t>
  </si>
  <si>
    <t xml:space="preserve">铺设改造输配水管网等 </t>
  </si>
  <si>
    <t>新路河镇黄龙坪村黄土坡饮水改造工程</t>
  </si>
  <si>
    <t>新建取水工程，铺设输配水管网等</t>
  </si>
  <si>
    <t>铜湾镇丁家村老屋场饮水工程</t>
  </si>
  <si>
    <t>铜湾镇丁家村</t>
  </si>
  <si>
    <t>新增水源，修引水井、供水主管</t>
  </si>
  <si>
    <t>铜湾镇丁家村10组（团山）饮水工程</t>
  </si>
  <si>
    <t>铜湾镇太坪村2组饮水工程</t>
  </si>
  <si>
    <t>铜湾镇太坪村</t>
  </si>
  <si>
    <t>新增水源，修引水井、供水主管和铺设进户管网</t>
  </si>
  <si>
    <t>铜湾镇渡江坡村1.2组饮水工程</t>
  </si>
  <si>
    <t>铜湾镇渡江坡村</t>
  </si>
  <si>
    <t>铺设改造输配水管网</t>
  </si>
  <si>
    <t>铜湾镇松坡村松坡溪、周家冲组</t>
  </si>
  <si>
    <t>铜湾镇松坡村</t>
  </si>
  <si>
    <t>铜鼎镇谢家村饮水改造工程</t>
  </si>
  <si>
    <t>铜鼎镇谢家村</t>
  </si>
  <si>
    <t>新建清水池，铺设改造输配水管网等</t>
  </si>
  <si>
    <t>袁家镇新屋场组饮水工程</t>
  </si>
  <si>
    <t>袁家镇新屋场组</t>
  </si>
  <si>
    <t>新修水源抽水井</t>
  </si>
  <si>
    <t>接龙镇新庄村4、5、6组饮水工程</t>
  </si>
  <si>
    <t>接龙镇新庄村</t>
  </si>
  <si>
    <t>新建取水井，清水池，铺设输配水管网等</t>
  </si>
  <si>
    <t>花桥镇双龙溪村饮水工程</t>
  </si>
  <si>
    <t>饮水</t>
  </si>
  <si>
    <t>在建</t>
  </si>
  <si>
    <t>花桥镇双龙溪村</t>
  </si>
  <si>
    <t>2020年9月</t>
  </si>
  <si>
    <t>2020年12月</t>
  </si>
  <si>
    <t>县水利局</t>
  </si>
  <si>
    <t>解决花桥镇双龙溪村黄土坎、大坡脑组612人饮水问题</t>
  </si>
  <si>
    <t>财政涉农统筹资金</t>
  </si>
  <si>
    <t>花桥镇火马塘村饮水工程</t>
  </si>
  <si>
    <t xml:space="preserve">花桥镇火马塘村 </t>
  </si>
  <si>
    <t>解决花桥镇火马塘村花岩组215人饮水问题</t>
  </si>
  <si>
    <t>铜鼎镇砖墙脚村饮水工程</t>
  </si>
  <si>
    <t xml:space="preserve">铜鼎镇砖墙脚村 </t>
  </si>
  <si>
    <t>解决铜鼎镇砖墙脚村黄毛坪、布野溪组210人饮水问题</t>
  </si>
  <si>
    <t>铜鼎镇集镇饮水工程</t>
  </si>
  <si>
    <t xml:space="preserve">铜鼎镇集镇 </t>
  </si>
  <si>
    <t xml:space="preserve">解决铜鼎镇集镇850人饮水问题 </t>
  </si>
  <si>
    <t>铜鼎镇蛮田村饮水工程</t>
  </si>
  <si>
    <t xml:space="preserve">铜鼎镇蛮田村 </t>
  </si>
  <si>
    <t xml:space="preserve">解决铜鼎镇蛮田村522人饮水问题 </t>
  </si>
  <si>
    <t>铜湾镇丁家村饮水工程</t>
  </si>
  <si>
    <t xml:space="preserve">铜湾镇丁家村 </t>
  </si>
  <si>
    <t>解决铜湾镇丁家村老屋场、 上团山、下团山、老学堂组328人饮水问题</t>
  </si>
  <si>
    <t>铜湾镇太坪村饮水工程</t>
  </si>
  <si>
    <t xml:space="preserve">铜湾镇太坪村 </t>
  </si>
  <si>
    <t>解决铜湾镇太坪村王家洞、 下王家洞、太平村部、堆子田组90人饮水问题</t>
  </si>
  <si>
    <t>铜湾镇梅树村饮水工程</t>
  </si>
  <si>
    <t xml:space="preserve">铜湾镇梅树村 </t>
  </si>
  <si>
    <t>解决铜湾镇梅树村田坎上、 独田、张家园、杨柳畔组340人饮水问题</t>
  </si>
  <si>
    <t>铜湾镇麻溪江村饮水工程</t>
  </si>
  <si>
    <t xml:space="preserve">铜湾镇麻溪江村 </t>
  </si>
  <si>
    <t>解决铜湾镇麻溪江村山岔组710人饮水问题</t>
  </si>
  <si>
    <t>铜湾镇渡江坡村饮水工程</t>
  </si>
  <si>
    <t xml:space="preserve">铜湾镇渡江坡村 </t>
  </si>
  <si>
    <t>解决铜湾镇渡江坡村牛栏冲、架井冲、温冲组610人饮水问题</t>
  </si>
  <si>
    <t>铜湾镇费家田村饮水工程</t>
  </si>
  <si>
    <t xml:space="preserve">铜湾镇费家田村 </t>
  </si>
  <si>
    <t xml:space="preserve">解决铜湾镇费家田村桃子园组198人饮水问题 </t>
  </si>
  <si>
    <t>铜湾镇铜湾村饮水工程</t>
  </si>
  <si>
    <t xml:space="preserve">铜湾镇铜湾村 </t>
  </si>
  <si>
    <t>解决铜湾镇铜湾村岩匠屋组331人饮水问题</t>
  </si>
  <si>
    <t>新路河镇贵鱼村饮水工程</t>
  </si>
  <si>
    <t xml:space="preserve">新路河镇贵鱼村 </t>
  </si>
  <si>
    <t>解决新路河镇贵鱼村下白羊坪、上白羊、大畔、 8组、哈差溪、烂泥湾组352人饮水问题</t>
  </si>
  <si>
    <t>新路河镇坪坳村饮水工程</t>
  </si>
  <si>
    <t xml:space="preserve">新路河镇坪坳村 </t>
  </si>
  <si>
    <t>解决新路河镇坪坳村坪坳、丫登坡、浪古山、蒿菜冲、丁家湾组336人饮水问题</t>
  </si>
  <si>
    <t>新路河镇大竹村饮水工程</t>
  </si>
  <si>
    <t xml:space="preserve">新路河镇大竹村 </t>
  </si>
  <si>
    <t>解决新路河镇大竹村4、13组、2、3、12组、兔田坡、杨柳坪、和尚坪、黄香坪、下江村、谢家坡、桐木溪、陈家冲、黄家冲、岩门寨组210人饮水问题</t>
  </si>
  <si>
    <t>新路河镇黄龙坪村饮水工程</t>
  </si>
  <si>
    <t xml:space="preserve">新路河镇黄龙坪村 </t>
  </si>
  <si>
    <t>解决新路河镇黄龙坪村1、2组、艾口、10组、 桥冲康组133人饮水问题</t>
  </si>
  <si>
    <t>新路河镇字溪村饮水工程</t>
  </si>
  <si>
    <t xml:space="preserve">新路河镇字溪村 </t>
  </si>
  <si>
    <t>解决新路河镇字溪村蒿菜畔、 永老田、字溪口、岩坳、坳田组145人饮水问题</t>
  </si>
  <si>
    <t>新路河镇里垄村饮水工程</t>
  </si>
  <si>
    <t xml:space="preserve">新路河镇里垄村 </t>
  </si>
  <si>
    <t>新路河镇里垄村木杉溪、 暴木冲、骡马潭、江家冲组353人饮水问题</t>
  </si>
  <si>
    <t>新路河镇澄渡江村饮水工程</t>
  </si>
  <si>
    <t xml:space="preserve">新路河镇澄渡江村 </t>
  </si>
  <si>
    <t xml:space="preserve">解决新路河镇澄渡江村弯田、茶油赣上、李家垄、 旺溪、两界田、瓦窑田、长坝田组547人饮水问题 </t>
  </si>
  <si>
    <t>新路河镇新路河村饮水工程</t>
  </si>
  <si>
    <t xml:space="preserve">新路河镇新路河村 </t>
  </si>
  <si>
    <t xml:space="preserve">解决新路河镇新路河村张水田、 小远、干田垄、坳田山、板栗坪、肖家、鱼家冲组402人饮水问题 </t>
  </si>
  <si>
    <t>新路河镇幸福村饮水工程</t>
  </si>
  <si>
    <t xml:space="preserve">新路河镇幸福村 </t>
  </si>
  <si>
    <t>解决新路河镇幸福村竹梨坪、 楼下江、银家坪组480人饮水问题</t>
  </si>
  <si>
    <t>蒿吉坪乡干田垄村饮水工程</t>
  </si>
  <si>
    <t>蒿吉坪乡干田垄村</t>
  </si>
  <si>
    <t>解决蒿干田垄村965人饮水问题人饮水问题</t>
  </si>
  <si>
    <t>蒿吉坪乡罗洪村饮水工程</t>
  </si>
  <si>
    <t>解决罗洪村872人饮水问题人饮水问题</t>
  </si>
  <si>
    <t>蒿吉坪乡助溪村饮水工程</t>
  </si>
  <si>
    <t>解决助溪村174人饮水问题人饮水问题</t>
  </si>
  <si>
    <t>蒿吉坪乡吉都堂村饮水工程</t>
  </si>
  <si>
    <t>解决吉都堂村82人饮水问题人饮水问题</t>
  </si>
  <si>
    <t>蒿吉坪乡山岔溪村饮水工程</t>
  </si>
  <si>
    <t>蒿吉坪乡山岔溪村</t>
  </si>
  <si>
    <t>解决山岔溪村53人饮水问题人饮水问题</t>
  </si>
  <si>
    <t xml:space="preserve"> 新建镇康龙村饮水工程</t>
  </si>
  <si>
    <t xml:space="preserve"> 新建镇康龙村</t>
  </si>
  <si>
    <t>解决康龙村660人饮水问题人饮水问题</t>
  </si>
  <si>
    <t xml:space="preserve"> 新建镇新建村饮水工程</t>
  </si>
  <si>
    <t xml:space="preserve"> 新建镇新建村</t>
  </si>
  <si>
    <t>解决新建村1201人饮水问题人饮水问题</t>
  </si>
  <si>
    <t xml:space="preserve"> 新建镇集镇水厂饮水工程</t>
  </si>
  <si>
    <t>解决新建村3364人饮水问题人饮水问题</t>
  </si>
  <si>
    <t xml:space="preserve"> 新建镇牛眠口村饮水工程</t>
  </si>
  <si>
    <t xml:space="preserve"> 新建镇牛眠口村</t>
  </si>
  <si>
    <t>解决牛眠口村1420人饮水问题人饮水问题</t>
  </si>
  <si>
    <t xml:space="preserve"> 新建镇黄金村饮水工程</t>
  </si>
  <si>
    <t xml:space="preserve"> 新建镇黄金村</t>
  </si>
  <si>
    <t>解决黄金村178人饮水问题人饮水问题</t>
  </si>
  <si>
    <t>铁坡镇板溪村饮水工程</t>
  </si>
  <si>
    <t xml:space="preserve"> 铁坡镇板溪村</t>
  </si>
  <si>
    <t>解决板溪村1047人饮水问题</t>
  </si>
  <si>
    <t>铁坡镇活龙村饮水工程</t>
  </si>
  <si>
    <t xml:space="preserve"> 铁坡镇活龙村</t>
  </si>
  <si>
    <t>解决活龙村1650人饮水问题</t>
  </si>
  <si>
    <t>铁坡镇梨花村饮水工程</t>
  </si>
  <si>
    <t xml:space="preserve"> 铁坡镇梨花村</t>
  </si>
  <si>
    <t>解决梨花村850人饮水问题</t>
  </si>
  <si>
    <t>铁坡镇活水村饮水工程</t>
  </si>
  <si>
    <t xml:space="preserve"> 铁坡镇活水村</t>
  </si>
  <si>
    <t>解决活水村1350人饮水问题</t>
  </si>
  <si>
    <t>铁坡镇阳丰村饮水工程</t>
  </si>
  <si>
    <t xml:space="preserve"> 铁坡镇阳丰村</t>
  </si>
  <si>
    <t>解决阳丰村人997饮水问题</t>
  </si>
  <si>
    <t>铁坡镇金银村饮水工程</t>
  </si>
  <si>
    <t xml:space="preserve"> 铁坡镇金银村</t>
  </si>
  <si>
    <t>解决金银村850人饮水问题</t>
  </si>
  <si>
    <t>铁坡镇锦溪村饮水工程</t>
  </si>
  <si>
    <t xml:space="preserve"> 铁坡镇锦溪村</t>
  </si>
  <si>
    <t>解决锦溪村828人饮水问题</t>
  </si>
  <si>
    <t>铁坡镇集镇水厂饮水工程</t>
  </si>
  <si>
    <t xml:space="preserve"> 铁坡镇铁坡村</t>
  </si>
  <si>
    <t>解决铁坡集镇610人饮水问题</t>
  </si>
  <si>
    <t>中方镇桥亭村饮水工程</t>
  </si>
  <si>
    <t>中方镇桥亭村</t>
  </si>
  <si>
    <t>解决桥亭村304人饮水问题</t>
  </si>
  <si>
    <t>中方镇陈家湾村饮水工程</t>
  </si>
  <si>
    <t>中方镇陈家湾村</t>
  </si>
  <si>
    <t>解决陈家湾村285人饮水问题</t>
  </si>
  <si>
    <t>中方镇长远村饮水工程</t>
  </si>
  <si>
    <t>中方镇长远村</t>
  </si>
  <si>
    <t>解决长远村679人饮水问题</t>
  </si>
  <si>
    <t>中方镇站坪村饮水工程</t>
  </si>
  <si>
    <t>中方镇站坪村</t>
  </si>
  <si>
    <t>解决站坪村319人饮水问题</t>
  </si>
  <si>
    <t>中方镇芭蕉村饮水工程</t>
  </si>
  <si>
    <t>中方镇芭蕉村</t>
  </si>
  <si>
    <t>解决芭蕉村1839人饮水问题</t>
  </si>
  <si>
    <t>泸阳镇五里村（布介洞等9个小组）饮水工程</t>
  </si>
  <si>
    <t>泸阳镇五里村布介洞、屋场湾、小马路、屋侧里、新园组等</t>
  </si>
  <si>
    <t>铺设配水管网</t>
  </si>
  <si>
    <t>铜湾镇竹元头村半坡组饮水工程</t>
  </si>
  <si>
    <t>铜湾镇竹元头村半坡组</t>
  </si>
  <si>
    <t>铜鼎镇砖墙脚村水池建设工程</t>
  </si>
  <si>
    <t>铜鼎镇砖墙脚村</t>
  </si>
  <si>
    <t>新建清水池</t>
  </si>
  <si>
    <t>中方镇牌楼镇宝界溪组饮水工程</t>
  </si>
  <si>
    <t>中方镇牌楼镇宝界溪组</t>
  </si>
  <si>
    <t>铁坡镇金银村水井维修工程</t>
  </si>
  <si>
    <t>维修</t>
  </si>
  <si>
    <t>铁坡镇金银村</t>
  </si>
  <si>
    <t>水井维修</t>
  </si>
  <si>
    <t>新建镇新建村饮水工程</t>
  </si>
  <si>
    <t>新建村9、10、16、17组</t>
  </si>
  <si>
    <t xml:space="preserve">新建取水井，清水池，铺设改造输配水管网等 </t>
  </si>
  <si>
    <t xml:space="preserve">新建镇干冲村1、2组饮水工程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</si>
  <si>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新建镇干冲村1、2组</t>
  </si>
  <si>
    <t>新建镇干冲1、2组</t>
  </si>
  <si>
    <t xml:space="preserve">新建镇康龙村饮水工程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</si>
  <si>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接龙镇老屋村饮水工程</t>
  </si>
  <si>
    <t>接龙镇老屋村</t>
  </si>
  <si>
    <t>解决老屋村1531人饮水问题</t>
  </si>
  <si>
    <t>接龙镇卧龙村饮水工程</t>
  </si>
  <si>
    <t>接龙镇卧龙村</t>
  </si>
  <si>
    <t>解决卧龙村538人饮水问题</t>
  </si>
  <si>
    <t>接龙镇桥头村饮水工程</t>
  </si>
  <si>
    <t>接龙镇桥头村</t>
  </si>
  <si>
    <t>解决桥头村974人饮水问题</t>
  </si>
  <si>
    <t>桐木镇黄松坳村饮水工程</t>
  </si>
  <si>
    <t>桐木镇黄松坳村</t>
  </si>
  <si>
    <t>解决黄松坳村2018人饮水问题</t>
  </si>
  <si>
    <t>桐木镇黄家湾村饮水工程</t>
  </si>
  <si>
    <t>桐木镇黄家湾村</t>
  </si>
  <si>
    <t>解决黄家湾村2040人饮水问题</t>
  </si>
  <si>
    <t>接龙镇龙溪村农村饮水安全工程</t>
  </si>
  <si>
    <t>龙溪村</t>
  </si>
  <si>
    <t>花桥镇火马塘村告场坪饮水工程</t>
  </si>
  <si>
    <t>告场坪</t>
  </si>
  <si>
    <t>火马塘村</t>
  </si>
  <si>
    <t>花桥镇火马塘村坨院组饮水工程</t>
  </si>
  <si>
    <t>火马塘村坨院组</t>
  </si>
  <si>
    <t xml:space="preserve">火马塘村 </t>
  </si>
  <si>
    <t>中方镇白良村饮水工程</t>
  </si>
  <si>
    <t>中方镇白良村</t>
  </si>
  <si>
    <t>中方镇塘家田村饮水工程</t>
  </si>
  <si>
    <t>中方镇塘家田村</t>
  </si>
  <si>
    <t>中方镇岩头元村饮水改造工程</t>
  </si>
  <si>
    <t>桐木镇宝寨村饮水工程</t>
  </si>
  <si>
    <t>桐木镇宝寨村</t>
  </si>
  <si>
    <t>花桥镇三冲口村饮水改造工程</t>
  </si>
  <si>
    <t>花桥镇三冲口村</t>
  </si>
  <si>
    <t>桐木镇桐坪村饮水工程</t>
  </si>
  <si>
    <t>桐坪村苏家界、杨柳滩组</t>
  </si>
  <si>
    <t xml:space="preserve">桐木镇桐坪村 </t>
  </si>
  <si>
    <t>桐木镇楠木铺村饮水工程</t>
  </si>
  <si>
    <t>楠木铺村</t>
  </si>
  <si>
    <t>桐木镇丰坡村饮水工程</t>
  </si>
  <si>
    <t>丰坡村芭蕉冲、黄土坡、塘坎、岩垄田、龙家、木山背组</t>
  </si>
  <si>
    <t xml:space="preserve">桐木镇丰坡村 </t>
  </si>
  <si>
    <t>（二）水利项目</t>
  </si>
  <si>
    <t>接龙镇卧龙村农田水毁维修工程</t>
  </si>
  <si>
    <t xml:space="preserve">水利 </t>
  </si>
  <si>
    <t>2020年10月</t>
  </si>
  <si>
    <t>接龙镇</t>
  </si>
  <si>
    <t>水渠维修</t>
  </si>
  <si>
    <t>解决财产安全问题，方便生活生产，提高群众满意度</t>
  </si>
  <si>
    <t>铜鼎镇重义溪村渠道水毁修复工程</t>
  </si>
  <si>
    <t>铜鼎镇重义溪村</t>
  </si>
  <si>
    <t>铜鼎镇</t>
  </si>
  <si>
    <t>主干渠道维修</t>
  </si>
  <si>
    <t>铜湾镇火家溪水库引水渠清淤防渗加固工程</t>
  </si>
  <si>
    <t>铜湾镇</t>
  </si>
  <si>
    <t>铜湾镇火家溪水库引水渠清淤防渗加固</t>
  </si>
  <si>
    <t>花桥镇双龙溪村饮水安全巩固提升工程</t>
  </si>
  <si>
    <t>维护</t>
  </si>
  <si>
    <t>花桥镇</t>
  </si>
  <si>
    <t>新建取水工程，铺设改造输配水管网等。</t>
  </si>
  <si>
    <t>上级资金</t>
  </si>
  <si>
    <t>泸阳镇和平村饮水安全巩固提升工程</t>
  </si>
  <si>
    <t>泸阳镇</t>
  </si>
  <si>
    <t>新建取水工程，铺设改造输配水管网等</t>
  </si>
  <si>
    <t>新路河镇里垄村饮水安全巩固提升工程</t>
  </si>
  <si>
    <t>新路河镇里垄村</t>
  </si>
  <si>
    <t>新路河镇</t>
  </si>
  <si>
    <t>泸阳镇白洋坪村溪口巩固提升工程</t>
  </si>
  <si>
    <t>泸阳镇白洋坪村</t>
  </si>
  <si>
    <t>三</t>
  </si>
  <si>
    <t>农村道路、桥梁</t>
  </si>
  <si>
    <t>花桥镇2017-2020年计划内行业扶贫项目续建工程</t>
  </si>
  <si>
    <t>交通基础设施建设</t>
  </si>
  <si>
    <t>续建</t>
  </si>
  <si>
    <t>2020.1.1</t>
  </si>
  <si>
    <t>2020.12.31</t>
  </si>
  <si>
    <t>交通运输局</t>
  </si>
  <si>
    <t>0.84公里路面硬化，3.5米宽砼</t>
  </si>
  <si>
    <t>涉农资金整合</t>
  </si>
  <si>
    <t>完成路面硬化，满足群众出行及生产生活需求</t>
  </si>
  <si>
    <t>中方镇栗山村朵里坡组通达公路</t>
  </si>
  <si>
    <t>栗山村</t>
  </si>
  <si>
    <t>1.7公里路基工程</t>
  </si>
  <si>
    <t>完成路基工程，方便群众出行</t>
  </si>
  <si>
    <t>中方镇芭蕉村双叉溪占至黄毛田何家水库组级公路</t>
  </si>
  <si>
    <t>芭蕉村</t>
  </si>
  <si>
    <t>3.5公里路基工程</t>
  </si>
  <si>
    <t>中方镇自然村通水泥路（提前批）</t>
  </si>
  <si>
    <t>中方镇</t>
  </si>
  <si>
    <t>88.302</t>
  </si>
  <si>
    <t>中方镇杨家至杨家田公路提质改造</t>
  </si>
  <si>
    <t>5.387公里窄路加宽，路面宽4.5米</t>
  </si>
  <si>
    <t>中方镇桥亭村阿盆溪至前进</t>
  </si>
  <si>
    <t>袁家镇袁家村味家冲至野星</t>
  </si>
  <si>
    <t>袁家村</t>
  </si>
  <si>
    <t>4.651公里窄路加宽，路面宽4.5米</t>
  </si>
  <si>
    <t>袁家镇袁家村袁家至太坡垅</t>
  </si>
  <si>
    <t>袁家镇水仙村</t>
  </si>
  <si>
    <t>水仙村</t>
  </si>
  <si>
    <t>袁家镇水仙村余良田至太溪</t>
  </si>
  <si>
    <t>新路河镇里垄村梨水冲至王山冲</t>
  </si>
  <si>
    <t>里垄村</t>
  </si>
  <si>
    <t>新路河镇鱼龙桥村省道至猫冲</t>
  </si>
  <si>
    <t>鱼龙桥村</t>
  </si>
  <si>
    <t>新路河镇坪坳村桃建至坪坳</t>
  </si>
  <si>
    <t>坪坳村</t>
  </si>
  <si>
    <t>新路河镇坪坳村大丫将至丁家湾</t>
  </si>
  <si>
    <t>1.991</t>
  </si>
  <si>
    <t>沅溪村爷爷田桥</t>
  </si>
  <si>
    <t>沅溪村</t>
  </si>
  <si>
    <t>桥梁一座</t>
  </si>
  <si>
    <t>完成桥梁建设，满足群众出行及生产生活需求</t>
  </si>
  <si>
    <t>铜湾镇太坪村青树坳院子</t>
  </si>
  <si>
    <t>太平村</t>
  </si>
  <si>
    <t>铜湾镇太坪村鲤鱼田组</t>
  </si>
  <si>
    <t>铜湾镇竹园头村半坡田组</t>
  </si>
  <si>
    <t>竹园头村</t>
  </si>
  <si>
    <t>铁坡镇梨花村梨花桥</t>
  </si>
  <si>
    <t>梨花村</t>
  </si>
  <si>
    <t>铁坡镇梨花村凉家坳至王家山</t>
  </si>
  <si>
    <t>5.37公里窄路加宽，路面宽4.5米</t>
  </si>
  <si>
    <t>铁坡镇梨花村楼屋处至松树湾</t>
  </si>
  <si>
    <t>铁坡镇活水村四马垅至香路山</t>
  </si>
  <si>
    <t>活水村</t>
  </si>
  <si>
    <t>铁坡镇板溪村兴隆桥</t>
  </si>
  <si>
    <t>板溪村</t>
  </si>
  <si>
    <t>金银村5组公路工程</t>
  </si>
  <si>
    <t>金银村</t>
  </si>
  <si>
    <t>铁坡镇梨花村车坪至大塘提质改造工程</t>
  </si>
  <si>
    <t>1.1公里窄路加宽，路面宽5米</t>
  </si>
  <si>
    <t>泸阳镇大斗村大斗村至腰子坪</t>
  </si>
  <si>
    <t>大斗村</t>
  </si>
  <si>
    <t>泸阳镇壮稻村壮稻至竹园山庄</t>
  </si>
  <si>
    <t>桥上村</t>
  </si>
  <si>
    <t>1.31公里窄路加宽，路面宽4.5米</t>
  </si>
  <si>
    <t>泸阳镇五里村山里平湖至菜门溪</t>
  </si>
  <si>
    <t>五里村</t>
  </si>
  <si>
    <t>7.177公里窄路加宽，路面宽5米</t>
  </si>
  <si>
    <t>泸阳镇聂家村南屋院桥</t>
  </si>
  <si>
    <t>聂家村村</t>
  </si>
  <si>
    <t>泸阳镇聂家村白泥铺至菜家田</t>
  </si>
  <si>
    <t>泸阳镇和平村沙坪至大团</t>
  </si>
  <si>
    <t>泸阳镇白洋坪村白洋坪至塘湾组</t>
  </si>
  <si>
    <t>泸阳镇和平至蓝莓基地</t>
  </si>
  <si>
    <t>花桥镇排叶村油麻冲至塘坝口通达</t>
  </si>
  <si>
    <t>排叶村</t>
  </si>
  <si>
    <t>0.489公里路基工程</t>
  </si>
  <si>
    <t>花桥镇排叶村1、2组</t>
  </si>
  <si>
    <t>花桥镇三羊头组级路</t>
  </si>
  <si>
    <t>三羊头村</t>
  </si>
  <si>
    <t>三冲口村</t>
  </si>
  <si>
    <t>花桥镇千丘田村</t>
  </si>
  <si>
    <t>千丘田村</t>
  </si>
  <si>
    <t>花桥镇花桥村花桥至宋家塘、花桥至倪家院</t>
  </si>
  <si>
    <t>三冲口至文家垅</t>
  </si>
  <si>
    <t>老树寨村级公路提质改造附属挡土墙工程</t>
  </si>
  <si>
    <t>老树寨村</t>
  </si>
  <si>
    <t>塌方清理，修建挡土墙</t>
  </si>
  <si>
    <t>花桥镇老树寨村村级公路盖板涵</t>
  </si>
  <si>
    <t>盖板涵一个</t>
  </si>
  <si>
    <t>花桥镇园艺场至岩园</t>
  </si>
  <si>
    <t>园艺场村</t>
  </si>
  <si>
    <t>0.272公里组级路硬化，路面宽3.5米</t>
  </si>
  <si>
    <t>花桥至白泥铺提质改造</t>
  </si>
  <si>
    <t>白泥铺村</t>
  </si>
  <si>
    <t>5.49公里公路窄路加宽</t>
  </si>
  <si>
    <t>新路河镇字溪村以工代赈建设资金(定额补助）</t>
  </si>
  <si>
    <t>字溪村</t>
  </si>
  <si>
    <t>县交通运输局</t>
  </si>
  <si>
    <t>路基整理及部分硬化</t>
  </si>
  <si>
    <t>涉农整合资金</t>
  </si>
  <si>
    <t>方便村民出行、产业发展</t>
  </si>
  <si>
    <t>中方镇塔灯田村岩洲组自然村通水泥路（定额补助）工程</t>
  </si>
  <si>
    <t>塔灯田村</t>
  </si>
  <si>
    <t>中方镇芭蕉村上段组漫水涵洞（暂定金额）工程</t>
  </si>
  <si>
    <t>中方镇白良村道路损毁修复（定额补助）工程</t>
  </si>
  <si>
    <t>白良村</t>
  </si>
  <si>
    <t>铜湾镇渡江坡村道路损毁修复（定额补助）工程</t>
  </si>
  <si>
    <t>渡江坡村</t>
  </si>
  <si>
    <t>铜湾镇丁家村砖屋里至对门山自然村通水泥路（定额补助）工程</t>
  </si>
  <si>
    <t>丁家村</t>
  </si>
  <si>
    <t>铜湾镇渡江坡村自然村通水泥路（定额补助）工程</t>
  </si>
  <si>
    <t>桐木镇黄家湾村通村部道路路基工程（定额补助）工程</t>
  </si>
  <si>
    <t>黄家湾村</t>
  </si>
  <si>
    <t>中方镇炉亭坳村道路修建及路桥维修（定额补助）工程</t>
  </si>
  <si>
    <t>炉亭坳村</t>
  </si>
  <si>
    <t>花桥镇白沙溪村塘落坡到白沙溪村部通达（定额补助）工程</t>
  </si>
  <si>
    <t>白沙溪村</t>
  </si>
  <si>
    <t>桐木镇大松坡村居民点道路及附属设施建设工程</t>
  </si>
  <si>
    <t>大松坡村</t>
  </si>
  <si>
    <t>袁家镇水仙村优质油茶基地基础设施建设项目</t>
  </si>
  <si>
    <t>交通基础设施</t>
  </si>
  <si>
    <t>2公里路面硬化</t>
  </si>
  <si>
    <t>方便群众安全出行</t>
  </si>
  <si>
    <t>铜湾镇渡江坡村道路硬化工程</t>
  </si>
  <si>
    <t>2公里路基整治</t>
  </si>
  <si>
    <t>中方镇白良村大田至打田公路路基整平项目</t>
  </si>
  <si>
    <t>2019年中方县炉亭坳村新建泥结碎石路及路桥维修</t>
  </si>
  <si>
    <t>2公里路基开挖及1座桥梁维修</t>
  </si>
  <si>
    <t>费家田村4组便民桥修建项目</t>
  </si>
  <si>
    <t>费家田村</t>
  </si>
  <si>
    <t>解决800多人生活生产及出行</t>
  </si>
  <si>
    <t>市交通运输局小型交通项目定额补助</t>
  </si>
  <si>
    <t>全县</t>
  </si>
  <si>
    <t>支持贫困村小型交通项目</t>
  </si>
  <si>
    <t>解决750多人生活生产及出行</t>
  </si>
  <si>
    <t>光伏发电沿线公路水泥硬化项目</t>
  </si>
  <si>
    <t>白洋坪</t>
  </si>
  <si>
    <t>宽3.5x长0.8公里公路工程</t>
  </si>
  <si>
    <t>中方镇塔灯田村环成路项目</t>
  </si>
  <si>
    <t>宽3.5米1公里</t>
  </si>
  <si>
    <t>中方镇塔灯田村便桥修复加固工程</t>
  </si>
  <si>
    <t>便桥修复加固</t>
  </si>
  <si>
    <t>铜湾镇三岔至三家田提质改造工程</t>
  </si>
  <si>
    <t>松坡村</t>
  </si>
  <si>
    <t>窄路加宽至4.5米</t>
  </si>
  <si>
    <t>桐木镇丰坡村上丰坡至半界公路提质改造工程</t>
  </si>
  <si>
    <t>丰坡村</t>
  </si>
  <si>
    <t>5.361公里窄路加宽，在原有路面宽度的基础上加宽1-1.5米</t>
  </si>
  <si>
    <t>花桥镇花桥至白泥铺公路提质改造工程</t>
  </si>
  <si>
    <t>5.49公里窄路加宽，在原有路面宽度的基础上加宽1-1.5米</t>
  </si>
  <si>
    <t>中方镇乌溪村小溪口至小溪村提质改造工程</t>
  </si>
  <si>
    <t>乌溪村</t>
  </si>
  <si>
    <t>3.516公里窄路加宽，在原有路面宽度的基础上加宽1-1.5米</t>
  </si>
  <si>
    <t>花桥镇芭蕉溪村4组公路挡土墙工程</t>
  </si>
  <si>
    <t>芭蕉溪村</t>
  </si>
  <si>
    <t>4组公路边坡治理，挡土墙200m³，挖石方400m³</t>
  </si>
  <si>
    <t>袁家镇蒋家村背地岗公路工程</t>
  </si>
  <si>
    <t>蒋家村</t>
  </si>
  <si>
    <t>1.115公里自然村公路建设</t>
  </si>
  <si>
    <t>袁家镇蒋家村背地岗通达公路工程</t>
  </si>
  <si>
    <t>1.115公里自然村通达公路建设</t>
  </si>
  <si>
    <t>蒿吉坪乡桃江村村部挡土墙工程</t>
  </si>
  <si>
    <t>桃江村</t>
  </si>
  <si>
    <t>修建挡土墙320立方米及排水设施100米</t>
  </si>
  <si>
    <t>花桥镇半坡村通组路附属设施项目</t>
  </si>
  <si>
    <t>半坡村</t>
  </si>
  <si>
    <t>修建挡土墙320立方米</t>
  </si>
  <si>
    <t>铁坡镇黄星村王家至黄星</t>
  </si>
  <si>
    <t>黄星村</t>
  </si>
  <si>
    <t>1.014</t>
  </si>
  <si>
    <t>在铁坡镇铁坡村王家组至上、下阳立冲组修通水泥马路，解决全村1993人出行问题</t>
  </si>
  <si>
    <t>铁坡镇沅溪村坪下坳至沅溪</t>
  </si>
  <si>
    <t>铁坡镇上洞村强引井至大沙坪</t>
  </si>
  <si>
    <t>上洞村</t>
  </si>
  <si>
    <t>为472人提供出行交通安全</t>
  </si>
  <si>
    <t>铁坡镇双岭村强引井至大沙坪</t>
  </si>
  <si>
    <t>双岭村</t>
  </si>
  <si>
    <t>为205人提供出行交通安全</t>
  </si>
  <si>
    <t>铁坡镇团一村井水湾至坳背垅</t>
  </si>
  <si>
    <t>团一村</t>
  </si>
  <si>
    <t>铁坡镇黄建村黄家湾至李家田</t>
  </si>
  <si>
    <t>黄建村</t>
  </si>
  <si>
    <t>为143人提供出行交通安全</t>
  </si>
  <si>
    <t>铁坡镇联家村铁坡镇林场专用公路</t>
  </si>
  <si>
    <t>联家村</t>
  </si>
  <si>
    <t>铜鼎镇青市村青市脚-拌子山</t>
  </si>
  <si>
    <t>青市村</t>
  </si>
  <si>
    <t>铜湾镇三家田村下周线</t>
  </si>
  <si>
    <t>三家田村</t>
  </si>
  <si>
    <t>铜湾镇和村村大院子-停子垅</t>
  </si>
  <si>
    <t>和村村</t>
  </si>
  <si>
    <t>铜湾镇和村村木斗田-大门口</t>
  </si>
  <si>
    <t>铜湾镇渡江坡村塘冲垅-牛栏冲</t>
  </si>
  <si>
    <t>铜湾镇渡江坡村温冲-温冲组</t>
  </si>
  <si>
    <t>铜湾镇水落岸村水落岸-暗山冲</t>
  </si>
  <si>
    <t>水落岸村</t>
  </si>
  <si>
    <t>铜湾镇新屋村岩匠屋-谭家垅</t>
  </si>
  <si>
    <t>新屋村</t>
  </si>
  <si>
    <t>新建镇保良村保良村组路</t>
  </si>
  <si>
    <t>保良村</t>
  </si>
  <si>
    <t>改善2742人出行条件</t>
  </si>
  <si>
    <t>新建镇八家村八家村组路</t>
  </si>
  <si>
    <t>八家村</t>
  </si>
  <si>
    <t>新建镇黄金村妹冲坳至气冲</t>
  </si>
  <si>
    <t>黄金村</t>
  </si>
  <si>
    <t>新路河镇字溪村旺溪口至旺溪村</t>
  </si>
  <si>
    <t>新路河镇湾溪口村新路河-参家溪</t>
  </si>
  <si>
    <t>湾溪口村</t>
  </si>
  <si>
    <t>新路河镇澄渡江村澄渡江-半坡</t>
  </si>
  <si>
    <t>澄渡江村</t>
  </si>
  <si>
    <t>新路河镇旺溪村澄渡江-半坡</t>
  </si>
  <si>
    <t>旺溪村</t>
  </si>
  <si>
    <t>新路河镇合理村高洞溪-干田垅</t>
  </si>
  <si>
    <t>合理村</t>
  </si>
  <si>
    <t>新路河镇澄渡江村昂叉溪-李家垅</t>
  </si>
  <si>
    <t>新路河镇澄渡江村尿泥坑-老油山</t>
  </si>
  <si>
    <t>新路河镇小湾坪村小湾坪村组路</t>
  </si>
  <si>
    <t>小湾坪村</t>
  </si>
  <si>
    <t>接龙镇新庄村龙溪至新庄</t>
  </si>
  <si>
    <t>新庄村</t>
  </si>
  <si>
    <t>方便群众出行，保证出行安全</t>
  </si>
  <si>
    <t>接龙镇宝山村门房公庙现至宝山村</t>
  </si>
  <si>
    <t>宝山村</t>
  </si>
  <si>
    <t>解决龙溪村宝山片区的安全出行问题</t>
  </si>
  <si>
    <t>接龙镇胡家村祖辈冲路</t>
  </si>
  <si>
    <t>胡家村</t>
  </si>
  <si>
    <t>解决胡家片区的安全出行问题</t>
  </si>
  <si>
    <t>花桥镇利家坡村木桥现-木桥现</t>
  </si>
  <si>
    <t>利家坡村</t>
  </si>
  <si>
    <t>花桥镇利家坡村利家坡八组路</t>
  </si>
  <si>
    <t>花桥镇芭蕉溪村孙家-油麻山</t>
  </si>
  <si>
    <t>方便群在安全出行</t>
  </si>
  <si>
    <t>花桥镇车坪村卢坳-塘家垴</t>
  </si>
  <si>
    <t>车坪村</t>
  </si>
  <si>
    <t>花桥镇利花村利花-龚家院子</t>
  </si>
  <si>
    <t>利花村</t>
  </si>
  <si>
    <t>花桥镇梅树冲村渥水潭-渥水溪八组</t>
  </si>
  <si>
    <t>梅树冲村</t>
  </si>
  <si>
    <t>花桥镇火马塘村白泥铺-姚家冲</t>
  </si>
  <si>
    <t>花桥镇火马塘村火马塘-桃家坪</t>
  </si>
  <si>
    <t>花桥镇火马塘村长冲垅水库-坨院</t>
  </si>
  <si>
    <t>花桥镇洞竹山村村小学-住里溪</t>
  </si>
  <si>
    <t>洞竹山村</t>
  </si>
  <si>
    <t>泸阳镇金家冲村金家冲村组路</t>
  </si>
  <si>
    <t>金家冲村</t>
  </si>
  <si>
    <t>47人</t>
  </si>
  <si>
    <t>321人</t>
  </si>
  <si>
    <t>解决了安全通行问题</t>
  </si>
  <si>
    <t>泸阳镇金塘村金塘村组路</t>
  </si>
  <si>
    <t>金塘村</t>
  </si>
  <si>
    <t>巩固脱贫成效</t>
  </si>
  <si>
    <t>泸阳镇细缅垅村栗树坳-大门溪</t>
  </si>
  <si>
    <t>细缅垅村</t>
  </si>
  <si>
    <t>解决全村群众的出行问题</t>
  </si>
  <si>
    <t>泸阳镇细缅垅村王家-毛家</t>
  </si>
  <si>
    <t>泸阳镇小坪村碑头-周家</t>
  </si>
  <si>
    <t>小坪村</t>
  </si>
  <si>
    <t>泸阳镇小坪村小坪-岩底洞</t>
  </si>
  <si>
    <t>泸阳镇堵家村羊角湾-郑家冲</t>
  </si>
  <si>
    <t>堵家村</t>
  </si>
  <si>
    <t>泸阳镇桥上村清水至干冲</t>
  </si>
  <si>
    <t>改善本村交通条件，方便村民出行</t>
  </si>
  <si>
    <t>中方镇长塘村长塘村组路</t>
  </si>
  <si>
    <t>长塘村</t>
  </si>
  <si>
    <t>中方镇茶元坡村茶元坡村组路</t>
  </si>
  <si>
    <t>茶元坡村</t>
  </si>
  <si>
    <t>中方镇茶元坡村小岔组路</t>
  </si>
  <si>
    <t>中方镇岩头元村杨梅冲组路</t>
  </si>
  <si>
    <t>岩头元村</t>
  </si>
  <si>
    <t>中方镇炉亭坳村炉亭坳村组路</t>
  </si>
  <si>
    <t>桐木镇黄家湾村刘家洞至宋信</t>
  </si>
  <si>
    <t>桐木镇宋信村刘家洞至宋信</t>
  </si>
  <si>
    <t>宋信村</t>
  </si>
  <si>
    <t>桐木镇黄松坳村村小路口至王家塘</t>
  </si>
  <si>
    <t>黄松坳村</t>
  </si>
  <si>
    <t>王家塘组级公路硬化，解决157人出行问题</t>
  </si>
  <si>
    <t>桐木镇黄松坳村王家塘路</t>
  </si>
  <si>
    <t>桐木镇下丰坡村下丰坡村组路</t>
  </si>
  <si>
    <t>下丰坡村</t>
  </si>
  <si>
    <t>组级公路硬化，解决下丰坡片区1848人行路难</t>
  </si>
  <si>
    <t>桐木镇桐木村黄家溪至侯马塘</t>
  </si>
  <si>
    <t>桐木村</t>
  </si>
  <si>
    <t>桐木镇黄家湾村禾钢丘至新唐</t>
  </si>
  <si>
    <t>桐木镇黄家湾村村部至村小</t>
  </si>
  <si>
    <t>桐木镇黄家湾村青山溪口至铁力湾</t>
  </si>
  <si>
    <t>转背垄、铁力湾</t>
  </si>
  <si>
    <t>桐木镇黄松坳村塘坝口至孙家冲</t>
  </si>
  <si>
    <t>阳务坡组级公路硬化，解决全村集体山林交通，自来水管理交通。</t>
  </si>
  <si>
    <t>桐木镇桐木村元湾口至屋背垅</t>
  </si>
  <si>
    <t>桐木镇桐木村尖岩塘至社塘冲</t>
  </si>
  <si>
    <t>桐木镇宋信村蒋家湾至老王冲</t>
  </si>
  <si>
    <t>桐木镇桐木村老瑶湾至应子组</t>
  </si>
  <si>
    <t>桐木镇宋信村泥冲至伍家湾</t>
  </si>
  <si>
    <t>伍家湾组</t>
  </si>
  <si>
    <t>桐木镇芒冬溪村大坳田至窑垅坡</t>
  </si>
  <si>
    <t>芒冬溪村</t>
  </si>
  <si>
    <t>桐坪村唐家界组</t>
  </si>
  <si>
    <t>桐木镇芒冬溪村石桥现至坳提现</t>
  </si>
  <si>
    <t>桐坪村龙家屋场组</t>
  </si>
  <si>
    <t>桐木镇大松坡村油坊至泥冲</t>
  </si>
  <si>
    <t>解决了泥冲组交通出行问题</t>
  </si>
  <si>
    <t>桐木镇楠木铺村马草坪至小冲</t>
  </si>
  <si>
    <t>解决龚家冲组、马草坪组、黄连洞组、小冲组约429人交通运输、出行难的问题</t>
  </si>
  <si>
    <t>桐木镇上丰坡村和平至沙坪</t>
  </si>
  <si>
    <t>上丰坡村</t>
  </si>
  <si>
    <t>组级公路硬化，解决和平153组人行路难</t>
  </si>
  <si>
    <t>桐木镇上丰坡村塘坎至塘坎院子</t>
  </si>
  <si>
    <t>组级公路硬化，解决塘坎组136人行路难</t>
  </si>
  <si>
    <t>桐木镇上丰坡村光明至西门冲</t>
  </si>
  <si>
    <t>组级公路硬化，解决西门冲97人行路难</t>
  </si>
  <si>
    <t>桐木镇毛田村桐木至宋信</t>
  </si>
  <si>
    <t>毛田村</t>
  </si>
  <si>
    <t>桐木镇宋信村桐木至宋信</t>
  </si>
  <si>
    <t>花桥镇花桥村堆子现至对门院子</t>
  </si>
  <si>
    <t>花桥镇花桥村卫生院至岩嘴上</t>
  </si>
  <si>
    <t>花桥镇花桥村省道至老脚坪</t>
  </si>
  <si>
    <t>花桥镇排叶村下双枫湾至上双枫湾</t>
  </si>
  <si>
    <t>花桥镇排叶村油麻冲至塘坝口</t>
  </si>
  <si>
    <t>花桥镇芭蕉溪村油麻山至孙家至夏家至洗手盘</t>
  </si>
  <si>
    <t>花桥镇花桥村渥水溪至王坡</t>
  </si>
  <si>
    <t>接龙镇龙溪村宝山至上宝山</t>
  </si>
  <si>
    <t>解决龙溪村宝山片区的安全出行问题　</t>
  </si>
  <si>
    <t>接龙镇龙溪村接龙田至关冲丫口</t>
  </si>
  <si>
    <t>接龙镇新庄村村部至粽粑田</t>
  </si>
  <si>
    <t>接龙镇新庄村竹里冲至缭屋场</t>
  </si>
  <si>
    <t>泸阳镇和平村杨家至竹子湾</t>
  </si>
  <si>
    <t>泸阳镇和平村八一组至瓦窑现</t>
  </si>
  <si>
    <t>18人</t>
  </si>
  <si>
    <t>80人</t>
  </si>
  <si>
    <t>解决了一个组村民安全通行</t>
  </si>
  <si>
    <t>泸阳镇泸西村护柱组至新屋场</t>
  </si>
  <si>
    <t>38人</t>
  </si>
  <si>
    <t>410人</t>
  </si>
  <si>
    <t>公路硬化工程</t>
  </si>
  <si>
    <t>泸阳镇泸西村两背组至农里</t>
  </si>
  <si>
    <t>　13人</t>
  </si>
  <si>
    <t>　133人</t>
  </si>
  <si>
    <t>泸阳镇泸阳村敬老院至丽水山庄</t>
  </si>
  <si>
    <t>泸阳村</t>
  </si>
  <si>
    <t>泸阳镇泸阳村中完至花果山至中三组环边垅</t>
  </si>
  <si>
    <t>泸阳镇细面垅村堵家村部至堰坝上</t>
  </si>
  <si>
    <t>细面垅村</t>
  </si>
  <si>
    <t>泸阳镇细面垅村新屋场组至王楼组</t>
  </si>
  <si>
    <t>泸阳镇下坪村考场至花树塘</t>
  </si>
  <si>
    <t>下坪村</t>
  </si>
  <si>
    <t>泸阳镇下坪村村部至阳老头</t>
  </si>
  <si>
    <t>项目实施后解决全村2950人行路难问题</t>
  </si>
  <si>
    <t>泸阳镇新店坪村拖船溪至佑门塘</t>
  </si>
  <si>
    <t>新店坪村</t>
  </si>
  <si>
    <t>方便村民出行　</t>
  </si>
  <si>
    <t>泸阳镇鸡公坡村大坪至毛家</t>
  </si>
  <si>
    <t>鸡公坡村</t>
  </si>
  <si>
    <t>泸阳镇泸阳村泸磷路至牛套冲组</t>
  </si>
  <si>
    <t>泸阳镇和平村杨柳坪至泸西村王家</t>
  </si>
  <si>
    <t>15人</t>
  </si>
  <si>
    <t>112人</t>
  </si>
  <si>
    <t>解决了一个组村民安全通行且是两村互通的道路</t>
  </si>
  <si>
    <t>泸阳镇小坪村碑头至周家</t>
  </si>
  <si>
    <t>铁坡镇活水村大冲至中古堂</t>
  </si>
  <si>
    <t>铁坡镇江坪村井水湾至黄家湾至大田现</t>
  </si>
  <si>
    <t>江坪村</t>
  </si>
  <si>
    <t>为436人提供出行交通安全</t>
  </si>
  <si>
    <t>铁坡镇江坪村黄泥冲至包山田</t>
  </si>
  <si>
    <t>为188人提供出行交通安全</t>
  </si>
  <si>
    <t>铁坡镇江坪村亭子现至沙木田</t>
  </si>
  <si>
    <t>为160人提供出行交通安全</t>
  </si>
  <si>
    <t>铁坡镇江坪村黄泥冲至磨上</t>
  </si>
  <si>
    <t>为2803人提供出行交通安全</t>
  </si>
  <si>
    <t>铁坡镇江坪村黄建村道旁至菜花坪</t>
  </si>
  <si>
    <t>为154人提供出行交通安全</t>
  </si>
  <si>
    <t>铁坡镇培丰村尧公田至舒有求</t>
  </si>
  <si>
    <t>培丰村</t>
  </si>
  <si>
    <t>为村民提供更好服务</t>
  </si>
  <si>
    <t>铁坡镇杨柳村板溪至江坪</t>
  </si>
  <si>
    <t>杨柳村</t>
  </si>
  <si>
    <t>为325人提供出行交通安全</t>
  </si>
  <si>
    <t>桐木镇半界村黄泥田至井冲</t>
  </si>
  <si>
    <t>半界村</t>
  </si>
  <si>
    <t>解决高枧组、鸭冲组及坎上组部分村民出行</t>
  </si>
  <si>
    <t>桐木镇半界村下湾至边山、上湾</t>
  </si>
  <si>
    <t>解决边山、下湾、上湾组村民出行</t>
  </si>
  <si>
    <t>桐木镇半界村村部至鸭冲、高枧</t>
  </si>
  <si>
    <t>桐木镇大松坡村桐评至杨家屋场</t>
  </si>
  <si>
    <t>解决了岩山脚、土溪垅、杨家屋场村民的出行问题</t>
  </si>
  <si>
    <t>桐木镇大松坡村突岩至土溪垅组</t>
  </si>
  <si>
    <t>解决了突岩、土溪垅村民的出行问题</t>
  </si>
  <si>
    <t>桐木镇大松坡村新村部至付马冲</t>
  </si>
  <si>
    <t>解决了新村部、付马冲村民的出行问题</t>
  </si>
  <si>
    <t>桐木镇大松坡村滑板溪</t>
  </si>
  <si>
    <t>解决了滑板溪村民的出行问题</t>
  </si>
  <si>
    <t>桐木镇大松坡村小虫坡跳岩至长冲</t>
  </si>
  <si>
    <t>解决了小虫坡跳岩、长冲村民的出行问题</t>
  </si>
  <si>
    <t>桐木镇丰坡村龙家乐园至庵堂湾</t>
  </si>
  <si>
    <t>组级公路硬化，解决光明组152人行路难</t>
  </si>
  <si>
    <t>桐木镇丰坡村左家冲至唐氏祠堂</t>
  </si>
  <si>
    <t>组级公路硬化，解决红星组136人行路难</t>
  </si>
  <si>
    <t>桐木镇丰坡村铁登坡至铁登坡坳上</t>
  </si>
  <si>
    <t>组级公路硬化，解决铁墩坡组126人行路难</t>
  </si>
  <si>
    <t>桐木镇丰坡村赵家冲至郭家冲</t>
  </si>
  <si>
    <t>组级公路硬化，解决赵家冲、郭家冲124人行路难</t>
  </si>
  <si>
    <t>桐木镇丰坡村芭蕉溪至盘上院子</t>
  </si>
  <si>
    <t>组级公路硬化，解决赵家冲、郭家冲183人行路难</t>
  </si>
  <si>
    <t>桐木镇黄家湾村石咀头至黄家湾</t>
  </si>
  <si>
    <t>石嘴头、黄家湾</t>
  </si>
  <si>
    <t>桐木镇黄家湾村庙现至苏家塘</t>
  </si>
  <si>
    <t>黄家湾</t>
  </si>
  <si>
    <t>桐木镇黄家湾村石咀头组</t>
  </si>
  <si>
    <t>石嘴头、贺塘坪</t>
  </si>
  <si>
    <t>桐木镇黄家湾村界头田院子至东冲胧组</t>
  </si>
  <si>
    <t>界头田、东冲垄</t>
  </si>
  <si>
    <t>桐木镇黄松坳村园坡落至毛田湾</t>
  </si>
  <si>
    <t>毛田湾组级公路硬化，解决166人出行问题</t>
  </si>
  <si>
    <t>桐木镇黄松坳村毛坪垅至蒙家湾</t>
  </si>
  <si>
    <t>蒙家湾组级公路硬化，解决200人出行问题</t>
  </si>
  <si>
    <t>桐木镇黄松坳村黄家溪至侯马塘</t>
  </si>
  <si>
    <t>猴马塘组级公路硬化，解决201人出行问题</t>
  </si>
  <si>
    <t>桐木镇黄松坳村界里田至烂木桥</t>
  </si>
  <si>
    <t>公田冲组级公路硬化，解决125人出行问题</t>
  </si>
  <si>
    <t>桐木镇楠木铺村楠木洞水库坝上至向家场蒿菜冲</t>
  </si>
  <si>
    <t>解决向家场组约115人交通运输、出行难问题</t>
  </si>
  <si>
    <t>桐木镇楠木铺村杨家界组（炮顶界至杨家界院子）</t>
  </si>
  <si>
    <t>解决杨家界组约101人交通运输、出行难问题</t>
  </si>
  <si>
    <t>桐木镇楠木铺村火山应至水口山土地背</t>
  </si>
  <si>
    <t>解决楠木洞组、向家场组、龚家冲组、马草坪组、大水田组约341人交通运输、难问题</t>
  </si>
  <si>
    <t>桐木镇桐木村聋坡界至蒋家院子</t>
  </si>
  <si>
    <t>油榨冲组</t>
  </si>
  <si>
    <t>桐木镇桐木村塘梅山至铁厂湾</t>
  </si>
  <si>
    <t>铁厂湾组</t>
  </si>
  <si>
    <t>桐木镇桐木村坳背至土地界</t>
  </si>
  <si>
    <t>印子组</t>
  </si>
  <si>
    <t>桐木镇桐木村宋信村部至老王冲</t>
  </si>
  <si>
    <t>蒋家湾组、坳上组、王家边组</t>
  </si>
  <si>
    <t>桐木镇桐木村塘梅山至破塘冲</t>
  </si>
  <si>
    <t>破塘冲组、四方田组</t>
  </si>
  <si>
    <t>桐木镇桐坪村大坳田至季田</t>
  </si>
  <si>
    <t>桐坪村</t>
  </si>
  <si>
    <t>桐坪村张缭垄组</t>
  </si>
  <si>
    <t>桐木镇桐坪村石桥现至杨柳滩</t>
  </si>
  <si>
    <t>桐坪村龙家屋场、杨柳滩组</t>
  </si>
  <si>
    <t>桐木镇桐坪村石桥现至夹四溪</t>
  </si>
  <si>
    <t>桐坪村兴红组</t>
  </si>
  <si>
    <t>桐木镇桐坪村向家至言细坳</t>
  </si>
  <si>
    <t>桐坪村跃进组</t>
  </si>
  <si>
    <t>桐木镇宝寨村塘冲组至小沅水库</t>
  </si>
  <si>
    <t>宝寨村</t>
  </si>
  <si>
    <t>宝寨村塘冲组至小沅水库</t>
  </si>
  <si>
    <t>桐木镇楠木铺村龚家冲至马家坪组</t>
  </si>
  <si>
    <t>铜鼎镇谢家村莲花冲至大村</t>
  </si>
  <si>
    <t>谢家村</t>
  </si>
  <si>
    <t>铜鼎镇蛮田村铜鼎至戴家冲</t>
  </si>
  <si>
    <t>蛮田村</t>
  </si>
  <si>
    <t>铜鼎镇蛮田村岔路口至山鸡冲</t>
  </si>
  <si>
    <t>铜鼎镇蛮田村山鸡冲至肖家院</t>
  </si>
  <si>
    <t>铜湾镇麻溪江村瓦塘至岩坳</t>
  </si>
  <si>
    <t>麻溪江村</t>
  </si>
  <si>
    <t>铜湾镇水落岸村水落岸至通达垅</t>
  </si>
  <si>
    <t>铜湾镇思坪村刘家坊至猪形至大溪</t>
  </si>
  <si>
    <t>思坪村</t>
  </si>
  <si>
    <t>铜湾镇松坡村池古塘至荒园</t>
  </si>
  <si>
    <t>铜湾镇竹园头村黄溪至老屋园</t>
  </si>
  <si>
    <t>铜湾镇丁家村丁家至牛藏溪</t>
  </si>
  <si>
    <t>铜湾镇渡江坡村廖家至土吊台</t>
  </si>
  <si>
    <t>新建镇新建村火山冲至早禾冲</t>
  </si>
  <si>
    <t>新建村</t>
  </si>
  <si>
    <t>2018年12月31日建成，方便628人出行</t>
  </si>
  <si>
    <t>新建镇黄金村村部到9组疙瘩冲</t>
  </si>
  <si>
    <t>2018年年底实现硬化通车</t>
  </si>
  <si>
    <t>新建镇康龙村桥头至消水湾组</t>
  </si>
  <si>
    <t>康龙村</t>
  </si>
  <si>
    <t>2018年12月建成，改善2742人出行条件</t>
  </si>
  <si>
    <t>新建镇牛眠口村桥头至五六七组</t>
  </si>
  <si>
    <t>牛眠口村</t>
  </si>
  <si>
    <t>2018年年底实现硬化通车　</t>
  </si>
  <si>
    <t>新建镇四卧龙村四卧龙至琼天</t>
  </si>
  <si>
    <t>四卧龙村</t>
  </si>
  <si>
    <t>实现6组群众出行、运输更加便利　</t>
  </si>
  <si>
    <t>新建镇四卧龙村黄溪旅游公路旁至一组</t>
  </si>
  <si>
    <t>实现1组群众出行、运输更加便利　</t>
  </si>
  <si>
    <t>新建镇小岩村4、5组水井口到乌鸡洞</t>
  </si>
  <si>
    <t>小岩村</t>
  </si>
  <si>
    <t>2018年12月完成，改善1155人出行条件</t>
  </si>
  <si>
    <t>新路河镇新路河村 合理至小园</t>
  </si>
  <si>
    <t xml:space="preserve">新路河村 </t>
  </si>
  <si>
    <t>新路河镇新路河村 白沙湾（通达路）</t>
  </si>
  <si>
    <t>新路河镇罗家坡村罗家坡至三步田</t>
  </si>
  <si>
    <t>罗家坡村</t>
  </si>
  <si>
    <t>新路河镇罗家坡村罗家坡至渡江口</t>
  </si>
  <si>
    <t>新路河镇罗家坡村村部至九组</t>
  </si>
  <si>
    <t xml:space="preserve">新路河镇鱼龙桥村 老供销社至石宝中学 </t>
  </si>
  <si>
    <t xml:space="preserve">鱼龙桥村 </t>
  </si>
  <si>
    <t>新路河镇鱼龙桥村 三课树至对面坡</t>
  </si>
  <si>
    <t>袁家镇大溪新村元脚-马王龙</t>
  </si>
  <si>
    <t>大溪新村</t>
  </si>
  <si>
    <t>袁家镇蒋家村背地细啦山</t>
  </si>
  <si>
    <t>袁家镇袁家村再马坑至岩落田</t>
  </si>
  <si>
    <t>中方镇芭蕉村黄毛田组级公路</t>
  </si>
  <si>
    <t>76</t>
  </si>
  <si>
    <t>846</t>
  </si>
  <si>
    <t>解决群众出行不便问题</t>
  </si>
  <si>
    <t>中方镇芭蕉村棒冲至向孙刚屋门口</t>
  </si>
  <si>
    <t>85</t>
  </si>
  <si>
    <t>1123</t>
  </si>
  <si>
    <t>0.35km道路硬化，解决群众出行不便问题</t>
  </si>
  <si>
    <t>中方镇芭蕉村村门口至溪边</t>
  </si>
  <si>
    <t>中方镇塘家田村寓本溪组土地公至铁沙坪</t>
  </si>
  <si>
    <t>塘家田村</t>
  </si>
  <si>
    <t>中方镇塘家田村力子冲溪边至黄毛岭</t>
  </si>
  <si>
    <t>中方镇岩头元村新田组至石溪院子</t>
  </si>
  <si>
    <t>中方镇白良村大田门至戏台山水打田</t>
  </si>
  <si>
    <t>中方镇桥亭村牛角田至团结</t>
  </si>
  <si>
    <t>桥亭村</t>
  </si>
  <si>
    <t>中方镇桥亭村牛角田至长远</t>
  </si>
  <si>
    <t>中方镇桥亭村王栗山至啊茶溪</t>
  </si>
  <si>
    <t>接龙镇龙溪村虎形至杨长贵屋现</t>
  </si>
  <si>
    <t>解决龙溪村龙溪片区的安全出行问题</t>
  </si>
  <si>
    <t>铁坡镇江坪村楼溪湾至下冲湾</t>
  </si>
  <si>
    <t>为211人提供出行交通安全</t>
  </si>
  <si>
    <t>铁坡镇杨柳村土砖冲至杨柳坪</t>
  </si>
  <si>
    <t>为1285人提供出行交通安全</t>
  </si>
  <si>
    <t>新路河镇澄渡江村S234省道至兰油山</t>
  </si>
  <si>
    <t>袁家镇水仙村雷家坪至杨梅树</t>
  </si>
  <si>
    <t>解决群众出行难问题</t>
  </si>
  <si>
    <t>中方镇牌楼村303厂至蒋家院子</t>
  </si>
  <si>
    <t>牌楼村</t>
  </si>
  <si>
    <t>中方镇长塘村东冲组至大湾组</t>
  </si>
  <si>
    <t>中方镇长塘村大湾组岔路口至坎冲组</t>
  </si>
  <si>
    <t>中方镇长塘村东冲组至刘家组</t>
  </si>
  <si>
    <t>中方镇乌溪村刘家湾至土桥冲</t>
  </si>
  <si>
    <t>中方镇乌溪村村主干道至堂田（蔡家组）</t>
  </si>
  <si>
    <t>中方镇桥亭村王栗山至禁山界</t>
  </si>
  <si>
    <t>中方镇白良村桃子洞至羊屎冲</t>
  </si>
  <si>
    <t>中方镇塘家田村俄子坡至岔路口</t>
  </si>
  <si>
    <t>中方镇塘家田村村部至塘家田组</t>
  </si>
  <si>
    <t>袁家镇大溪新村5组自然村通水泥路工程</t>
  </si>
  <si>
    <t>袁家镇大溪新村5组漫水涵洞工程</t>
  </si>
  <si>
    <t>40米桥梁（漫水桥）一座</t>
  </si>
  <si>
    <t>铁坡镇活水村耐泥冲至桃树冲公路工程</t>
  </si>
  <si>
    <t>新路河镇里垄村石宝至桃建（杨柳双溪路口）公路边坡处置工程</t>
  </si>
  <si>
    <t>解决道路因塌方中断问题</t>
  </si>
  <si>
    <t>中方县板山场村象形脚组公路滑坡处置工程</t>
  </si>
  <si>
    <t>板山场村</t>
  </si>
  <si>
    <t>为430人提供出行交通安全</t>
  </si>
  <si>
    <t>中方县袁家大溪新村军田桥加固工程</t>
  </si>
  <si>
    <t>主拱圈加固，挡土墙及桥梁、护栏施工</t>
  </si>
  <si>
    <t>中方县中方镇芭蕉村上段组漫水桥项目</t>
  </si>
  <si>
    <t>40米长漫水涵洞桥一座</t>
  </si>
  <si>
    <t>2018年中方县农村公路安防工程</t>
  </si>
  <si>
    <t>改建</t>
  </si>
  <si>
    <t>2019.6.1</t>
  </si>
  <si>
    <t>106公里农村公路波形护栏、标志标牌建设</t>
  </si>
  <si>
    <t>方便群众安全出行，达到通行班车条件</t>
  </si>
  <si>
    <t>公共服务</t>
  </si>
  <si>
    <t>农村生活垃圾治理　</t>
  </si>
  <si>
    <t>公共服务　</t>
  </si>
  <si>
    <t>长期治理</t>
  </si>
  <si>
    <t xml:space="preserve"> 解决农村生活垃圾脏、乱、差问题</t>
  </si>
  <si>
    <t>县财政自筹</t>
  </si>
  <si>
    <t>全体</t>
  </si>
  <si>
    <t>全覆盖对各村、组进行垃圾清运，有效改善农村人居环境</t>
  </si>
  <si>
    <t>厕所革命</t>
  </si>
  <si>
    <t>农村人居环境整治</t>
  </si>
  <si>
    <t>12个乡镇</t>
  </si>
  <si>
    <t>中方县农业农村局</t>
  </si>
  <si>
    <t>在全县12个乡镇建4000座无害化三格式化粪池.</t>
  </si>
  <si>
    <t>财政资金</t>
  </si>
  <si>
    <t>全县卫生厕所普及率提升到85%以上。</t>
  </si>
  <si>
    <t>乡镇自建项目</t>
  </si>
  <si>
    <t>板山场村公路水毁塌方修复</t>
  </si>
  <si>
    <t xml:space="preserve">板山场村 </t>
  </si>
  <si>
    <t>公路水毁塌方修复</t>
  </si>
  <si>
    <t>财政专项扶贫资金</t>
  </si>
  <si>
    <t>桥上村渠道硬化项目</t>
  </si>
  <si>
    <t>桥上村梁红片区1000米</t>
  </si>
  <si>
    <t>项目建成后巩固脱贫受益贫困户300余人，实现农业灌溉面积300多亩。</t>
  </si>
  <si>
    <t>鸡公坡便道改造项目</t>
  </si>
  <si>
    <t>鸡公坡村（四良坪、下坨院落）400米</t>
  </si>
  <si>
    <t xml:space="preserve">项目建成后，方便1000余人群众出行，促使群众增产增收
</t>
  </si>
  <si>
    <t>五里村板栗山公路维修</t>
  </si>
  <si>
    <t>李家组路基扩宽2米，硬化长100米，宽5米</t>
  </si>
  <si>
    <t>方便19个组的群众出行</t>
  </si>
  <si>
    <t>五里村渠道维修</t>
  </si>
  <si>
    <t>维修200米</t>
  </si>
  <si>
    <t>灌溉农田60多亩</t>
  </si>
  <si>
    <t>聂家村院子机耕道建设项目</t>
  </si>
  <si>
    <t>200米</t>
  </si>
  <si>
    <t>项目建成后，方便900余人农业生产、群众出行</t>
  </si>
  <si>
    <t>白沙溪村村级旅游接待中心带公用厕所</t>
  </si>
  <si>
    <t>旅游配套</t>
  </si>
  <si>
    <t>罗家坪</t>
  </si>
  <si>
    <t>2020·4</t>
  </si>
  <si>
    <t>2020·12</t>
  </si>
  <si>
    <t>旅游中心及卫生公厕建设</t>
  </si>
  <si>
    <t>通过发展旅游产业带动贫困户脱贫增收</t>
  </si>
  <si>
    <t>半坡村产业道路建设</t>
  </si>
  <si>
    <t>半坡村福堂峰产业道路水泥硬化300米</t>
  </si>
  <si>
    <t>提升巩固产业发展</t>
  </si>
  <si>
    <t xml:space="preserve">洞竹山村产业道路硬化 </t>
  </si>
  <si>
    <t>4、5、12组产业道路硬化</t>
  </si>
  <si>
    <t>项目的实施极大地方便了村民农产品的运输</t>
  </si>
  <si>
    <t>丁家村机耕道后续巩固建设</t>
  </si>
  <si>
    <t xml:space="preserve">丁家村 </t>
  </si>
  <si>
    <t>田垅界到大丰冲机耕道二期建设工程，后续巩固建设修建1.5公里</t>
  </si>
  <si>
    <t>可以解决周边的农田灌溉</t>
  </si>
  <si>
    <t>麻溪江村三岔组级主干道硬化</t>
  </si>
  <si>
    <t>三岔组级主干道硬化</t>
  </si>
  <si>
    <t>项后可解决村民出行难问题，巩固脱贫成效，提升群众满意度。</t>
  </si>
  <si>
    <t>黄溪村水渠维修</t>
  </si>
  <si>
    <t>黄溪村</t>
  </si>
  <si>
    <t>火家溪灌区水渠维修</t>
  </si>
  <si>
    <t>可以解决黄溪、松坡、麻溪江、水落岸等周边的农田灌溉</t>
  </si>
  <si>
    <t>铜湾镇梅树村下丁家坪水渠硬化 　</t>
  </si>
  <si>
    <t>基础设施　</t>
  </si>
  <si>
    <t>梅树村　</t>
  </si>
  <si>
    <t>下丁家坪电站路口至田里冲水渠硬化及井冲湾至下丁家坪院子</t>
  </si>
  <si>
    <t>该渠道硬化后10.11.12组群众受益</t>
  </si>
  <si>
    <t>铜湾镇梅树村杨柳坪水渠硬化 　</t>
  </si>
  <si>
    <t>杨柳坪院子至冲里</t>
  </si>
  <si>
    <t>该渠道硬化后18、19组群众受益</t>
  </si>
  <si>
    <t>铜湾镇梅树村萝卜湾水渠硬化 　</t>
  </si>
  <si>
    <t>萝卜湾院子田边</t>
  </si>
  <si>
    <t>该渠道硬化后13、14、15、16组群众受益</t>
  </si>
  <si>
    <t>新建镇新建村板楼组水渠硬化项目</t>
  </si>
  <si>
    <t>新建镇</t>
  </si>
  <si>
    <t>11组水渠硬化800米，水渠内径40cmX40cm</t>
  </si>
  <si>
    <t>引水灌溉，增加群众收入</t>
  </si>
  <si>
    <t>新建镇新建村桑利园水渠硬化项目</t>
  </si>
  <si>
    <t>桑利园水渠硬化300米，水渠内径30cmX30cm</t>
  </si>
  <si>
    <t>新建镇新建村教堂旁水渠硬化项目</t>
  </si>
  <si>
    <t>教堂旁水渠硬化200米，水渠内径30cmX30cm</t>
  </si>
  <si>
    <t>新建镇新建村横板桥水渠硬化项目</t>
  </si>
  <si>
    <t>横板桥水渠硬化200米，水渠内径30cmX30cm</t>
  </si>
  <si>
    <t>新建镇新建村良高坳水渠硬化项目</t>
  </si>
  <si>
    <t>良高坳水渠硬化300米，水渠内径40cmX40cm</t>
  </si>
  <si>
    <t>新建镇康龙村八家组溪边堰坎底部加固</t>
  </si>
  <si>
    <t>填补溪边堰坎底部空洞处并加固，共需砌方约40立方米，每立方米造价300元。</t>
  </si>
  <si>
    <t>解决安全隐患，确保灌溉蓄水。</t>
  </si>
  <si>
    <t>新建镇康龙村7组自来水基础设施改造</t>
  </si>
  <si>
    <t>扩建</t>
  </si>
  <si>
    <t>将原有引水管更换成大型号（50规格）引水管，需1700米管道。每米管道材料费6元。</t>
  </si>
  <si>
    <t>解决7组村民灌溉、饮水问题，提升村民生活质量。</t>
  </si>
  <si>
    <t>新建镇康龙村8组院内溪流整治</t>
  </si>
  <si>
    <t>整治溪流长度约50米，每米需要资金200元，新建水渠宽1.5M，高0.8M，水渠三方厚度不少于15CM。</t>
  </si>
  <si>
    <t>美化亮化环境，建设美丽乡村。</t>
  </si>
  <si>
    <t>新建镇康龙村9组院内溪流整治</t>
  </si>
  <si>
    <t>整治溪流长度约200米，每米需要资金180元。新建水渠宽1.5M，高0.8M，水渠三方厚度不少于15CM。并新建一座人行便桥，造价约2000元。</t>
  </si>
  <si>
    <t>新建镇康龙村11组灌溉山塘加固</t>
  </si>
  <si>
    <t>将面积为5亩的原灌溉山塘进行加固修复。需要挖掘机作业工期40小时，1小时价格为180元。拖车费800元，还需要购买涵管等基础生产资料约2000元</t>
  </si>
  <si>
    <t>保证储水量，解决村民灌溉40亩农田水源问题。</t>
  </si>
  <si>
    <t>新建镇康龙村田冲组院内道路通达工程</t>
  </si>
  <si>
    <t>2组院子内目前路况较差，行人通行不便，长度约750米。市级财政资金拉通毛坯路200米、宽4米，上铺砂石。其余路段所需资金组内群众自筹。</t>
  </si>
  <si>
    <t>建设硬化砂石路一条，方便群众出行</t>
  </si>
  <si>
    <t>大溪新村落安塘水渠维修项目　</t>
  </si>
  <si>
    <t>改建　</t>
  </si>
  <si>
    <t>大溪新村村　</t>
  </si>
  <si>
    <t>袁家镇</t>
  </si>
  <si>
    <t>　1200米</t>
  </si>
  <si>
    <t>灌溉面积320亩，受益贫困户220人，非贫困户205人　</t>
  </si>
  <si>
    <t>水仙村小叉垅水渠修复项目　</t>
  </si>
  <si>
    <t>水仙村　</t>
  </si>
  <si>
    <t>　800米</t>
  </si>
  <si>
    <t>受益贫困户44户，非贫困户192户,灌溉面积200亩　</t>
  </si>
  <si>
    <t>袁家村产业水坝水渠改造项目</t>
  </si>
  <si>
    <t>袁家村　</t>
  </si>
  <si>
    <t>　水坝4座、水渠修复</t>
  </si>
  <si>
    <t>受益贫困户69户，非贫困户289户　</t>
  </si>
  <si>
    <t>字溪村通组产业公路</t>
  </si>
  <si>
    <t>山田冲至永老田1.5公里通组产业路水泥硬化</t>
  </si>
  <si>
    <t>改善交通生产条件，促进产业发展。</t>
  </si>
  <si>
    <t>新路河镇小湾坪村葡萄产业项目　</t>
  </si>
  <si>
    <t>土地流转、开挖，栽培葡萄项目30亩等　</t>
  </si>
  <si>
    <t>年收益约5万元</t>
  </si>
  <si>
    <t>铁坡镇活水村霞景-王家连接公路硬化</t>
  </si>
  <si>
    <t>硬化</t>
  </si>
  <si>
    <t>铁坡镇</t>
  </si>
  <si>
    <t>0.6公里硬化</t>
  </si>
  <si>
    <t>方便村民出行</t>
  </si>
  <si>
    <t>铁坡镇江坪村炉溪湾至下冲湾公路新建工程</t>
  </si>
  <si>
    <t>2020年</t>
  </si>
  <si>
    <t>长900米、宽5米</t>
  </si>
  <si>
    <t>铁坡镇阳丰村禾梨界至龙劲上、山斗坡至黄土坡产业路硬化</t>
  </si>
  <si>
    <t>阳丰村</t>
  </si>
  <si>
    <t>6公里毛路建设</t>
  </si>
  <si>
    <t>修建扶贫产业路，巩固脱贫成果</t>
  </si>
  <si>
    <t>铁坡镇板溪村4组组级公路硬化　</t>
  </si>
  <si>
    <t>板溪村　</t>
  </si>
  <si>
    <t>0.3公里硬化</t>
  </si>
  <si>
    <t>铁坡镇活龙村河水湾产业公路硬化　</t>
  </si>
  <si>
    <t>活龙村</t>
  </si>
  <si>
    <t>提升扶贫产业基地，巩固脱贫成果，</t>
  </si>
  <si>
    <t>铁坡村油茶建设</t>
  </si>
  <si>
    <t>铁坡村</t>
  </si>
  <si>
    <t>凤形地发展油茶100多亩</t>
  </si>
  <si>
    <t>增加村集体和建档立卡贫困农户收入</t>
  </si>
  <si>
    <t>细洞排上至乌冲里机耕道延伸、古山冲组公路铺砂</t>
  </si>
  <si>
    <t>基础设施建设</t>
  </si>
  <si>
    <t>桥头村</t>
  </si>
  <si>
    <t>2020.12.30</t>
  </si>
  <si>
    <t>新建机耕道2公里、铺砂1公里</t>
  </si>
  <si>
    <t>新建机耕道方便8.9.10.12.16.19六个村民小组的农业生产林木运输、铺砂方便14组近30亩油茶产业生产，巩固提升几个小组群众满意度　</t>
  </si>
  <si>
    <t>新建机耕道铺砂及水渠</t>
  </si>
  <si>
    <t>基础设施建设　</t>
  </si>
  <si>
    <t>桥头村枫木林公路 杨柳冲水渠　</t>
  </si>
  <si>
    <t>新建公路1千米,　水渠300米</t>
  </si>
  <si>
    <t>枫木林机耕道方便该组8户出行的同时解决了该组农业生产及经济林木的运输。杨柳冲水渠解决该组20亩良田灌溉提升群众满意度　</t>
  </si>
  <si>
    <t>接龙镇新庄村入户便道硬化</t>
  </si>
  <si>
    <t>新庄村1.2.3.4.5.6.11.12组　</t>
  </si>
  <si>
    <t>2020.9.1　</t>
  </si>
  <si>
    <t>2020.12.30　</t>
  </si>
  <si>
    <t>5千米入户便道硬化　</t>
  </si>
  <si>
    <t>硬化8个组入户便道，方便群众出行，提升群众满意度　</t>
  </si>
  <si>
    <t>蒿吉坪乡干田垄村饮水工程维修</t>
  </si>
  <si>
    <t>干田垄村</t>
  </si>
  <si>
    <t>蒿吉坪乡</t>
  </si>
  <si>
    <t>维护、维修全村8个组饮水工程，蓄水池8座，管道8000米。</t>
  </si>
  <si>
    <t>解决7组村民灌饮水问题，提升村民生活质量。</t>
  </si>
  <si>
    <t>三岔溪村渠道硬化</t>
  </si>
  <si>
    <t>三岔溪村</t>
  </si>
  <si>
    <t>蒿吉坪乡
三岔溪村</t>
  </si>
  <si>
    <t>全村十二组1800米渠道硬化</t>
  </si>
  <si>
    <t>解决全村农田的灌溉问题</t>
  </si>
  <si>
    <t>罗洪村水渠维修新建项目</t>
  </si>
  <si>
    <t>改建新建　</t>
  </si>
  <si>
    <t>罗洪村　</t>
  </si>
  <si>
    <t>水渠维修1000米</t>
  </si>
  <si>
    <t>泸阳镇鸡公坡村山体滑坡损毁公路修复工程项目　</t>
  </si>
  <si>
    <t>维修　</t>
  </si>
  <si>
    <t>鸡公坡村　</t>
  </si>
  <si>
    <t>县民政局　</t>
  </si>
  <si>
    <t>1.5千米　</t>
  </si>
  <si>
    <t>自筹与后盾单位帮扶及上级支持　</t>
  </si>
  <si>
    <t>方便群众生产生活，提升群众幸福感　</t>
  </si>
  <si>
    <t>泸阳镇泸西村自来水改造项目</t>
  </si>
  <si>
    <t>扩建　</t>
  </si>
  <si>
    <t>学堂现　</t>
  </si>
  <si>
    <t>3千米　</t>
  </si>
  <si>
    <t>方便群众生产生活，提升群众幸福感　　</t>
  </si>
  <si>
    <t>中方镇芭蕉村富家山水毁公路修复工程项目　</t>
  </si>
  <si>
    <t>芭蕉村　</t>
  </si>
  <si>
    <t>1千米</t>
  </si>
  <si>
    <t>上级支持</t>
  </si>
  <si>
    <t>方便群众生产生活，提升群众幸福感</t>
  </si>
  <si>
    <t>板山场村冬桃防鸟防护网建设</t>
  </si>
  <si>
    <t>布置冬桃防鸟防护网</t>
  </si>
  <si>
    <t>亩产3000斤，收益3000元，满意度95%</t>
  </si>
  <si>
    <t>板山场村有机堆肥</t>
  </si>
  <si>
    <t>有机堆肥</t>
  </si>
  <si>
    <t>亩产300斤，收益1500元，满意度100%</t>
  </si>
  <si>
    <t>板山场村种养技能培训</t>
  </si>
  <si>
    <t>种养技能培训</t>
  </si>
  <si>
    <t>解决群众种养技能缺乏</t>
  </si>
  <si>
    <t>楠木铺村组级公路硬化</t>
  </si>
  <si>
    <t>桐木镇</t>
  </si>
  <si>
    <t>组级公路硬化</t>
  </si>
  <si>
    <t>解决村民出行问题，巩固提升脱贫成效</t>
  </si>
  <si>
    <t>白沙溪村公用厕所建设</t>
  </si>
  <si>
    <t>洗沙溪</t>
  </si>
  <si>
    <t>卫生公厕建设</t>
  </si>
  <si>
    <t>白沙溪村旅游公路建设</t>
  </si>
  <si>
    <t>楠竹园至白沙水库</t>
  </si>
  <si>
    <t>旅游公路建设</t>
  </si>
  <si>
    <t>铜湾镇梅树村泄水塘至石牛潭渠道硬化</t>
  </si>
  <si>
    <t>渠道硬化400米长，规格110cm*90cm</t>
  </si>
  <si>
    <t>1—9组群众受益，梅树电站可恢复发电</t>
  </si>
  <si>
    <t>铜湾镇梅树村田野冲渠道硬化</t>
  </si>
  <si>
    <t>渠道硬化500米，规格30cm*30cm</t>
  </si>
  <si>
    <t>渠道硬化后10—12组村民受益</t>
  </si>
  <si>
    <t>铜湾镇梅树村独田渠道小坝建设</t>
  </si>
  <si>
    <t>独田渠道小坝</t>
  </si>
  <si>
    <t>加固后19组村民受益</t>
  </si>
  <si>
    <t>新路河镇鱼龙桥村冬桃种植项目　</t>
  </si>
  <si>
    <t>鱼龙桥村　</t>
  </si>
  <si>
    <t>新建冬桃种植基地约50亩　</t>
  </si>
  <si>
    <t>三后挂果后年收益约12万元</t>
  </si>
  <si>
    <t>半坡村福堂峰产业道路水泥硬化1700米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</si>
</sst>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_);[Red]\(0\)"/>
    <numFmt numFmtId="178" formatCode="0.00_ "/>
    <numFmt numFmtId="179" formatCode="0.0_ "/>
    <numFmt numFmtId="180" formatCode="0_ "/>
    <numFmt numFmtId="181" formatCode="@&quot;公路工程&quot;"/>
    <numFmt numFmtId="182" formatCode="@&quot;公里组级路硬化，路面宽3.5米&quot;"/>
    <numFmt numFmtId="183" formatCode="@&quot;自然村通水泥路（整村推进）工程&quot;"/>
    <numFmt numFmtId="184" formatCode="@&quot;自然村通水泥路（自主实施）工程&quot;"/>
  </numFmts>
  <fonts count="37"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宋体"/>
      <charset val="134"/>
    </font>
    <font>
      <sz val="11"/>
      <name val="宋体"/>
      <charset val="134"/>
    </font>
    <font>
      <sz val="11"/>
      <name val="新宋体"/>
      <charset val="134"/>
    </font>
    <font>
      <sz val="11"/>
      <name val="方正仿宋_GBK"/>
      <charset val="134"/>
    </font>
    <font>
      <sz val="11"/>
      <name val="仿宋"/>
      <charset val="134"/>
    </font>
    <font>
      <sz val="11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" fillId="0" borderId="0">
      <protection locked="0"/>
    </xf>
    <xf numFmtId="0" fontId="23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7" borderId="12" applyNumberFormat="0" applyFont="0" applyAlignment="0" applyProtection="0">
      <alignment vertical="center"/>
    </xf>
    <xf numFmtId="0" fontId="30" fillId="0" borderId="0">
      <protection locked="0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19" borderId="15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13" borderId="13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0" borderId="0">
      <protection locked="0"/>
    </xf>
    <xf numFmtId="0" fontId="1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6" fillId="0" borderId="0"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0" fillId="0" borderId="0">
      <protection locked="0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justify" vertical="center" wrapText="1"/>
    </xf>
    <xf numFmtId="177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justify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33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63" applyFont="1" applyBorder="1" applyAlignment="1">
      <alignment horizontal="center" vertical="center" wrapText="1"/>
    </xf>
    <xf numFmtId="0" fontId="8" fillId="0" borderId="2" xfId="63" applyFont="1" applyFill="1" applyBorder="1" applyAlignment="1">
      <alignment horizontal="center" vertical="center" wrapText="1"/>
    </xf>
    <xf numFmtId="49" fontId="8" fillId="0" borderId="2" xfId="63" applyNumberFormat="1" applyFont="1" applyBorder="1" applyAlignment="1">
      <alignment horizontal="center" vertical="center" wrapText="1"/>
    </xf>
    <xf numFmtId="0" fontId="8" fillId="0" borderId="2" xfId="27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8" fillId="0" borderId="2" xfId="2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65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0" fontId="8" fillId="0" borderId="2" xfId="22" applyNumberFormat="1" applyFont="1" applyFill="1" applyBorder="1" applyAlignment="1">
      <alignment horizontal="center" vertical="center" wrapText="1"/>
    </xf>
    <xf numFmtId="177" fontId="8" fillId="0" borderId="2" xfId="63" applyNumberFormat="1" applyFont="1" applyFill="1" applyBorder="1" applyAlignment="1">
      <alignment horizontal="center" vertical="center" wrapText="1"/>
    </xf>
    <xf numFmtId="49" fontId="8" fillId="0" borderId="2" xfId="63" applyNumberFormat="1" applyFont="1" applyFill="1" applyBorder="1" applyAlignment="1" applyProtection="1">
      <alignment horizontal="center" vertical="center" wrapText="1"/>
    </xf>
    <xf numFmtId="0" fontId="8" fillId="0" borderId="2" xfId="68" applyNumberFormat="1" applyFont="1" applyFill="1" applyBorder="1" applyAlignment="1">
      <alignment horizontal="center" vertical="center" wrapText="1"/>
    </xf>
    <xf numFmtId="0" fontId="8" fillId="0" borderId="2" xfId="63" applyNumberFormat="1" applyFont="1" applyFill="1" applyBorder="1" applyAlignment="1">
      <alignment horizontal="center" vertical="center" wrapText="1"/>
    </xf>
    <xf numFmtId="0" fontId="8" fillId="0" borderId="2" xfId="21" applyNumberFormat="1" applyFont="1" applyFill="1" applyBorder="1" applyAlignment="1">
      <alignment horizontal="center" vertical="center" wrapText="1"/>
    </xf>
    <xf numFmtId="177" fontId="8" fillId="0" borderId="2" xfId="68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70" applyNumberFormat="1" applyFont="1" applyFill="1" applyBorder="1" applyAlignment="1" applyProtection="1">
      <alignment horizontal="center" vertical="center" wrapText="1"/>
    </xf>
    <xf numFmtId="0" fontId="10" fillId="0" borderId="2" xfId="63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49" fontId="10" fillId="0" borderId="2" xfId="63" applyNumberFormat="1" applyFont="1" applyFill="1" applyBorder="1" applyAlignment="1">
      <alignment horizontal="center" vertical="center" wrapText="1"/>
    </xf>
    <xf numFmtId="0" fontId="10" fillId="0" borderId="2" xfId="73" applyFont="1" applyFill="1" applyBorder="1" applyAlignment="1">
      <alignment horizontal="center" vertical="center" wrapText="1"/>
    </xf>
    <xf numFmtId="0" fontId="10" fillId="0" borderId="2" xfId="41" applyFont="1" applyBorder="1" applyAlignment="1">
      <alignment horizontal="center" vertical="center" wrapText="1"/>
    </xf>
    <xf numFmtId="0" fontId="10" fillId="0" borderId="2" xfId="66" applyFont="1" applyFill="1" applyBorder="1" applyAlignment="1">
      <alignment horizontal="center" vertical="center" wrapText="1"/>
    </xf>
    <xf numFmtId="0" fontId="10" fillId="0" borderId="2" xfId="27" applyFont="1" applyFill="1" applyBorder="1" applyAlignment="1">
      <alignment horizontal="center" vertical="center" wrapText="1"/>
    </xf>
    <xf numFmtId="178" fontId="10" fillId="0" borderId="2" xfId="21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22" applyNumberFormat="1" applyFont="1" applyFill="1" applyBorder="1" applyAlignment="1">
      <alignment horizontal="center" vertical="center" wrapText="1"/>
    </xf>
    <xf numFmtId="0" fontId="12" fillId="0" borderId="2" xfId="63" applyFont="1" applyFill="1" applyBorder="1" applyAlignment="1">
      <alignment horizontal="center" vertical="center" wrapText="1"/>
    </xf>
    <xf numFmtId="0" fontId="13" fillId="0" borderId="2" xfId="75" applyFont="1" applyFill="1" applyBorder="1" applyAlignment="1">
      <alignment horizontal="center" vertical="center" wrapText="1"/>
    </xf>
    <xf numFmtId="177" fontId="14" fillId="0" borderId="2" xfId="75" applyNumberFormat="1" applyFont="1" applyFill="1" applyBorder="1" applyAlignment="1">
      <alignment horizontal="center" vertical="center" wrapText="1"/>
    </xf>
    <xf numFmtId="49" fontId="10" fillId="0" borderId="2" xfId="63" applyNumberFormat="1" applyFont="1" applyFill="1" applyBorder="1" applyAlignment="1" applyProtection="1">
      <alignment horizontal="center" vertical="center" wrapText="1"/>
    </xf>
    <xf numFmtId="0" fontId="10" fillId="0" borderId="2" xfId="22" applyNumberFormat="1" applyFont="1" applyFill="1" applyBorder="1" applyAlignment="1">
      <alignment horizontal="center" vertical="center" wrapText="1"/>
    </xf>
    <xf numFmtId="177" fontId="10" fillId="0" borderId="2" xfId="68" applyNumberFormat="1" applyFont="1" applyFill="1" applyBorder="1" applyAlignment="1">
      <alignment horizontal="center" vertical="center" wrapText="1"/>
    </xf>
    <xf numFmtId="0" fontId="10" fillId="0" borderId="2" xfId="75" applyFont="1" applyFill="1" applyBorder="1" applyAlignment="1">
      <alignment horizontal="center" vertical="center" wrapText="1"/>
    </xf>
    <xf numFmtId="177" fontId="10" fillId="0" borderId="2" xfId="75" applyNumberFormat="1" applyFont="1" applyFill="1" applyBorder="1" applyAlignment="1">
      <alignment horizontal="center" vertical="center" wrapText="1"/>
    </xf>
    <xf numFmtId="0" fontId="10" fillId="0" borderId="2" xfId="68" applyNumberFormat="1" applyFont="1" applyFill="1" applyBorder="1" applyAlignment="1">
      <alignment horizontal="center" vertical="center" wrapText="1"/>
    </xf>
    <xf numFmtId="0" fontId="10" fillId="0" borderId="2" xfId="77" applyNumberFormat="1" applyFont="1" applyFill="1" applyBorder="1" applyAlignment="1">
      <alignment horizontal="center" vertical="center" wrapText="1"/>
    </xf>
    <xf numFmtId="0" fontId="10" fillId="0" borderId="2" xfId="79" applyFont="1" applyBorder="1" applyAlignment="1">
      <alignment horizontal="center" vertical="center" wrapText="1"/>
    </xf>
    <xf numFmtId="177" fontId="10" fillId="0" borderId="2" xfId="79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72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67" applyFont="1" applyFill="1" applyBorder="1" applyAlignment="1" applyProtection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0" fontId="8" fillId="0" borderId="2" xfId="76" applyFont="1" applyFill="1" applyBorder="1" applyAlignment="1" applyProtection="1">
      <alignment horizontal="center" vertical="center"/>
    </xf>
    <xf numFmtId="0" fontId="8" fillId="0" borderId="2" xfId="16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180" fontId="8" fillId="2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82" applyFont="1" applyFill="1" applyBorder="1" applyAlignment="1">
      <alignment horizontal="center" vertical="center" wrapText="1"/>
    </xf>
    <xf numFmtId="0" fontId="8" fillId="0" borderId="2" xfId="80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0" fontId="8" fillId="0" borderId="2" xfId="75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57" fontId="8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84">
    <cellStyle name="常规" xfId="0" builtinId="0"/>
    <cellStyle name="常规_2016年人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_袁家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常规_2016年人饮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常规 11 2 5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_蒿吉坪" xfId="39"/>
    <cellStyle name="好" xfId="40" builtinId="26"/>
    <cellStyle name="常规 16" xfId="41"/>
    <cellStyle name="适中" xfId="42" builtinId="28"/>
    <cellStyle name="强调文字颜色 1" xfId="43" builtinId="29"/>
    <cellStyle name="常规 2_水利局2020年项目库(1)_水利局2020年项目库(2.25) 2" xfId="44"/>
    <cellStyle name="20% - 强调文字颜色 5" xfId="45" builtinId="46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常规 3 3" xfId="54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2_水利局2020年项目库(1)_水利局2020年项目库(2.25)_水利局2020年项目库(3.2)财政" xfId="62"/>
    <cellStyle name="常规 14" xfId="63"/>
    <cellStyle name="常规_未纳入客运班线明细表" xfId="64"/>
    <cellStyle name="常规 3" xfId="65"/>
    <cellStyle name="常规 11" xfId="66"/>
    <cellStyle name="常规 2" xfId="67"/>
    <cellStyle name="常规 13" xfId="68"/>
    <cellStyle name="常规_中方" xfId="69"/>
    <cellStyle name="常规 14 2" xfId="70"/>
    <cellStyle name="常规 7" xfId="71"/>
    <cellStyle name="常规 2_水利局2019年项目库终稿（2.27）_水利局2020年项目库(1)_水利局2020年项目库(2.25)" xfId="72"/>
    <cellStyle name="常规 15" xfId="73"/>
    <cellStyle name="常规 2_水利局2020年项目库(1)_水利局2020年项目库(2.25)" xfId="74"/>
    <cellStyle name="常规 10" xfId="75"/>
    <cellStyle name="常规 4" xfId="76"/>
    <cellStyle name="常规 29" xfId="77"/>
    <cellStyle name="常规 2_水利局2020年项目库(1)_水利局2020年项目库(2.25)_水利局2020年项目库(3.2)财政 2" xfId="78"/>
    <cellStyle name="常规 23" xfId="79"/>
    <cellStyle name="常规 2 19" xfId="80"/>
    <cellStyle name="常规 13 6" xfId="81"/>
    <cellStyle name="常规 19 2" xfId="82"/>
    <cellStyle name="常规_Sheet1" xfId="83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lj71\Documents\Tencent%20Files\404243598\FileRecv\&#33457;&#26725;&#38215;&#39033;&#30446;&#30003;&#25253;&#26448;&#26009;0713\&#33457;&#26725;&#38215;&#20132;&#36890;&#39033;&#3044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lj71\AppData\Local\Temp\360zip$Temp\360$0\&#20132;&#36890;&#39033;&#30446;&#24314;&#357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花桥镇花桥村堆子现至对门院子</v>
          </cell>
          <cell r="C5" t="str">
            <v>基础设施</v>
          </cell>
          <cell r="D5" t="str">
            <v>新建</v>
          </cell>
          <cell r="E5" t="str">
            <v>花桥村</v>
          </cell>
          <cell r="F5" t="str">
            <v>2018.6.1</v>
          </cell>
          <cell r="G5" t="str">
            <v>2018.12.31</v>
          </cell>
          <cell r="H5" t="str">
            <v>县交通运输局</v>
          </cell>
          <cell r="I5">
            <v>0.765</v>
          </cell>
          <cell r="J5">
            <v>8.721</v>
          </cell>
          <cell r="K5" t="str">
            <v>涉农整合资金</v>
          </cell>
          <cell r="L5">
            <v>18</v>
          </cell>
          <cell r="M5">
            <v>450</v>
          </cell>
          <cell r="N5" t="str">
            <v>方便群众安全出行</v>
          </cell>
          <cell r="O5">
            <v>0.52</v>
          </cell>
        </row>
        <row r="5">
          <cell r="R5">
            <v>0.95</v>
          </cell>
        </row>
        <row r="6">
          <cell r="B6" t="str">
            <v>花桥镇花桥村卫生院至岩嘴上</v>
          </cell>
          <cell r="C6" t="str">
            <v>基础设施</v>
          </cell>
          <cell r="D6" t="str">
            <v>新建</v>
          </cell>
          <cell r="E6" t="str">
            <v>花桥村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0.507</v>
          </cell>
          <cell r="J6">
            <v>5.7798</v>
          </cell>
          <cell r="K6" t="str">
            <v>涉农整合资金</v>
          </cell>
          <cell r="L6">
            <v>11</v>
          </cell>
          <cell r="M6">
            <v>130</v>
          </cell>
          <cell r="N6" t="str">
            <v>方便群众安全出行</v>
          </cell>
          <cell r="O6">
            <v>0.52</v>
          </cell>
        </row>
        <row r="6">
          <cell r="R6">
            <v>0.95</v>
          </cell>
        </row>
        <row r="7">
          <cell r="B7" t="str">
            <v>花桥镇花桥村白门井至唐家脑</v>
          </cell>
          <cell r="C7" t="str">
            <v>基础设施</v>
          </cell>
          <cell r="D7" t="str">
            <v>新建</v>
          </cell>
          <cell r="E7" t="str">
            <v>花桥村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1.34</v>
          </cell>
          <cell r="J7">
            <v>15.276</v>
          </cell>
          <cell r="K7" t="str">
            <v>涉农整合资金</v>
          </cell>
          <cell r="L7">
            <v>473</v>
          </cell>
          <cell r="M7">
            <v>5908</v>
          </cell>
          <cell r="N7" t="str">
            <v>方便群众安全出行</v>
          </cell>
          <cell r="O7">
            <v>0.52</v>
          </cell>
        </row>
        <row r="7">
          <cell r="R7">
            <v>0.95</v>
          </cell>
        </row>
        <row r="8">
          <cell r="B8" t="str">
            <v>花桥镇花桥村省道至老脚坪</v>
          </cell>
          <cell r="C8" t="str">
            <v>基础设施</v>
          </cell>
          <cell r="D8" t="str">
            <v>新建</v>
          </cell>
          <cell r="E8" t="str">
            <v>花桥村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0.37</v>
          </cell>
          <cell r="J8">
            <v>4.218</v>
          </cell>
          <cell r="K8" t="str">
            <v>涉农整合资金</v>
          </cell>
          <cell r="L8">
            <v>4</v>
          </cell>
          <cell r="M8">
            <v>115</v>
          </cell>
          <cell r="N8" t="str">
            <v>方便群众安全出行</v>
          </cell>
          <cell r="O8">
            <v>0.52</v>
          </cell>
        </row>
        <row r="8">
          <cell r="R8">
            <v>0.95</v>
          </cell>
        </row>
        <row r="9">
          <cell r="B9" t="str">
            <v>花桥镇花桥村渥水溪至王坡</v>
          </cell>
          <cell r="C9" t="str">
            <v>基础设施</v>
          </cell>
          <cell r="D9" t="str">
            <v>新建</v>
          </cell>
          <cell r="E9" t="str">
            <v>花桥村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3</v>
          </cell>
          <cell r="J9">
            <v>34.2</v>
          </cell>
          <cell r="K9" t="str">
            <v>涉农整合资金</v>
          </cell>
          <cell r="L9">
            <v>31</v>
          </cell>
          <cell r="M9">
            <v>386</v>
          </cell>
          <cell r="N9" t="str">
            <v>方便群众安全出行</v>
          </cell>
          <cell r="O9">
            <v>0.52</v>
          </cell>
        </row>
        <row r="9">
          <cell r="R9">
            <v>0.95</v>
          </cell>
        </row>
        <row r="10">
          <cell r="B10" t="str">
            <v>花桥镇利家坡村木桥现-木桥现</v>
          </cell>
          <cell r="C10" t="str">
            <v>基础设施</v>
          </cell>
          <cell r="D10" t="str">
            <v>新建</v>
          </cell>
          <cell r="E10" t="str">
            <v>花桥村</v>
          </cell>
          <cell r="F10" t="str">
            <v>2018.6.1</v>
          </cell>
          <cell r="G10" t="str">
            <v>2018.12.31</v>
          </cell>
          <cell r="H10" t="str">
            <v>县交通运输局</v>
          </cell>
          <cell r="I10">
            <v>0.716</v>
          </cell>
          <cell r="J10">
            <v>35.8</v>
          </cell>
          <cell r="K10" t="str">
            <v>涉农整合资金</v>
          </cell>
          <cell r="L10">
            <v>28</v>
          </cell>
          <cell r="M10">
            <v>289</v>
          </cell>
          <cell r="N10" t="str">
            <v>方便群众安全出行</v>
          </cell>
          <cell r="O10">
            <v>0.52</v>
          </cell>
        </row>
        <row r="10">
          <cell r="R10">
            <v>0.95</v>
          </cell>
        </row>
        <row r="11">
          <cell r="B11" t="str">
            <v>花桥镇利家坡村利家坡八组路</v>
          </cell>
          <cell r="C11" t="str">
            <v>基础设施</v>
          </cell>
          <cell r="D11" t="str">
            <v>新建</v>
          </cell>
          <cell r="E11" t="str">
            <v>花桥村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0.454</v>
          </cell>
          <cell r="J11">
            <v>22.7</v>
          </cell>
          <cell r="K11" t="str">
            <v>涉农整合资金</v>
          </cell>
          <cell r="L11">
            <v>28</v>
          </cell>
          <cell r="M11">
            <v>289</v>
          </cell>
          <cell r="N11" t="str">
            <v>方便群众安全出行</v>
          </cell>
          <cell r="O11">
            <v>0.52</v>
          </cell>
        </row>
        <row r="11">
          <cell r="R11">
            <v>0.95</v>
          </cell>
        </row>
        <row r="12">
          <cell r="B12" t="str">
            <v>花桥镇车坪村卢坳-塘家垴</v>
          </cell>
          <cell r="C12" t="str">
            <v>基础设施</v>
          </cell>
          <cell r="D12" t="str">
            <v>新建</v>
          </cell>
          <cell r="E12" t="str">
            <v>花桥村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2.069</v>
          </cell>
          <cell r="J12">
            <v>103.45</v>
          </cell>
          <cell r="K12" t="str">
            <v>涉农整合资金</v>
          </cell>
          <cell r="L12">
            <v>3</v>
          </cell>
          <cell r="M12">
            <v>142</v>
          </cell>
          <cell r="N12" t="str">
            <v>方便群众安全出行</v>
          </cell>
          <cell r="O12">
            <v>0.52</v>
          </cell>
        </row>
        <row r="12">
          <cell r="R12">
            <v>0.95</v>
          </cell>
        </row>
        <row r="13">
          <cell r="B13" t="str">
            <v>花桥镇利花村利花-龚家院子</v>
          </cell>
          <cell r="C13" t="str">
            <v>基础设施</v>
          </cell>
          <cell r="D13" t="str">
            <v>新建</v>
          </cell>
          <cell r="E13" t="str">
            <v>花桥村</v>
          </cell>
          <cell r="F13" t="str">
            <v>2018.6.1</v>
          </cell>
          <cell r="G13" t="str">
            <v>2018.12.31</v>
          </cell>
          <cell r="H13" t="str">
            <v>县交通运输局</v>
          </cell>
          <cell r="I13">
            <v>0.347</v>
          </cell>
          <cell r="J13">
            <v>17.35</v>
          </cell>
          <cell r="K13" t="str">
            <v>涉农整合资金</v>
          </cell>
          <cell r="L13">
            <v>25</v>
          </cell>
          <cell r="M13">
            <v>128</v>
          </cell>
          <cell r="N13" t="str">
            <v>方便群众安全出行</v>
          </cell>
          <cell r="O13">
            <v>0.52</v>
          </cell>
        </row>
        <row r="13">
          <cell r="R13">
            <v>0.95</v>
          </cell>
        </row>
        <row r="14">
          <cell r="B14" t="str">
            <v>花桥镇花桥村花桥至宋家塘、花桥至倪家院</v>
          </cell>
          <cell r="C14" t="str">
            <v>基础设施</v>
          </cell>
          <cell r="D14" t="str">
            <v>新建</v>
          </cell>
          <cell r="E14" t="str">
            <v>花桥村</v>
          </cell>
          <cell r="F14" t="str">
            <v>2017.1.1</v>
          </cell>
          <cell r="G14" t="str">
            <v>2017.12.31</v>
          </cell>
          <cell r="H14" t="str">
            <v>县交通运输局</v>
          </cell>
          <cell r="I14">
            <v>3.95</v>
          </cell>
          <cell r="J14">
            <v>60.04</v>
          </cell>
          <cell r="K14" t="str">
            <v>涉农整合资金</v>
          </cell>
          <cell r="L14">
            <v>42</v>
          </cell>
          <cell r="M14">
            <v>415</v>
          </cell>
          <cell r="N14" t="str">
            <v>方便群众安全出行</v>
          </cell>
          <cell r="O14">
            <v>0.52</v>
          </cell>
        </row>
        <row r="14">
          <cell r="R14">
            <v>0.95</v>
          </cell>
        </row>
        <row r="15">
          <cell r="B15" t="str">
            <v>花桥镇双龙溪村</v>
          </cell>
          <cell r="C15" t="str">
            <v>基础设施</v>
          </cell>
          <cell r="D15" t="str">
            <v>新建</v>
          </cell>
          <cell r="E15" t="str">
            <v>双龙溪村</v>
          </cell>
          <cell r="F15" t="str">
            <v>2017.1.1</v>
          </cell>
          <cell r="G15" t="str">
            <v>2017.12.31</v>
          </cell>
          <cell r="H15" t="str">
            <v>县交通运输局</v>
          </cell>
          <cell r="I15">
            <v>3.89</v>
          </cell>
          <cell r="J15">
            <v>59.128</v>
          </cell>
          <cell r="K15" t="str">
            <v>涉农整合资金</v>
          </cell>
          <cell r="L15">
            <v>401</v>
          </cell>
          <cell r="M15">
            <v>2070</v>
          </cell>
          <cell r="N15" t="str">
            <v>方便群众安全出行</v>
          </cell>
          <cell r="O15">
            <v>0.51</v>
          </cell>
        </row>
        <row r="15">
          <cell r="R15">
            <v>0.95</v>
          </cell>
        </row>
        <row r="16">
          <cell r="B16" t="str">
            <v>花桥镇芭蕉溪村油麻山至孙家至夏家至洗手盘自然村通水泥路（自主实施）工程</v>
          </cell>
          <cell r="C16" t="str">
            <v>基础设施</v>
          </cell>
          <cell r="D16" t="str">
            <v>新建</v>
          </cell>
          <cell r="E16" t="str">
            <v>芭蕉溪村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</row>
        <row r="16">
          <cell r="J16">
            <v>24.72</v>
          </cell>
          <cell r="K16" t="str">
            <v>涉农整合资金　　　</v>
          </cell>
          <cell r="L16">
            <v>59</v>
          </cell>
          <cell r="M16">
            <v>346</v>
          </cell>
          <cell r="N16" t="str">
            <v>方便群众安全出行</v>
          </cell>
          <cell r="O16">
            <v>0.55</v>
          </cell>
          <cell r="P16">
            <v>56</v>
          </cell>
          <cell r="Q16">
            <v>600</v>
          </cell>
          <cell r="R16">
            <v>0.95</v>
          </cell>
        </row>
        <row r="17">
          <cell r="B17" t="str">
            <v>花桥镇芭蕉溪村孙家-油麻山自然村通水泥路（整村推进）工程</v>
          </cell>
          <cell r="C17" t="str">
            <v>基础设施</v>
          </cell>
          <cell r="D17" t="str">
            <v>新建</v>
          </cell>
          <cell r="E17" t="str">
            <v>芭蕉溪村</v>
          </cell>
          <cell r="F17" t="str">
            <v>2018.6.1</v>
          </cell>
          <cell r="G17" t="str">
            <v>2018.12.31</v>
          </cell>
          <cell r="H17" t="str">
            <v>县交通运输局</v>
          </cell>
        </row>
        <row r="17">
          <cell r="J17">
            <v>10.1</v>
          </cell>
          <cell r="K17" t="str">
            <v>涉农整合资金　　</v>
          </cell>
          <cell r="L17">
            <v>59</v>
          </cell>
          <cell r="M17">
            <v>346</v>
          </cell>
          <cell r="N17" t="str">
            <v>方便群众安全出行</v>
          </cell>
          <cell r="O17">
            <v>0.55</v>
          </cell>
          <cell r="P17">
            <v>56</v>
          </cell>
          <cell r="Q17">
            <v>600</v>
          </cell>
          <cell r="R17">
            <v>0.95</v>
          </cell>
        </row>
        <row r="18">
          <cell r="B18" t="str">
            <v>花桥镇龙场公路工程项目</v>
          </cell>
          <cell r="C18" t="str">
            <v>基础设施</v>
          </cell>
          <cell r="D18" t="str">
            <v>新建</v>
          </cell>
          <cell r="E18" t="str">
            <v>龙场村</v>
          </cell>
          <cell r="F18">
            <v>42736</v>
          </cell>
          <cell r="G18">
            <v>43070</v>
          </cell>
          <cell r="H18" t="str">
            <v>县交通运输局</v>
          </cell>
          <cell r="I18">
            <v>0.24</v>
          </cell>
          <cell r="J18">
            <v>3.648</v>
          </cell>
          <cell r="K18" t="str">
            <v>涉农整合资金　　</v>
          </cell>
          <cell r="L18">
            <v>229</v>
          </cell>
          <cell r="M18">
            <v>1187</v>
          </cell>
          <cell r="N18" t="str">
            <v>方便群众安全出行</v>
          </cell>
          <cell r="O18">
            <v>0.68</v>
          </cell>
        </row>
        <row r="18">
          <cell r="R18">
            <v>0.95</v>
          </cell>
        </row>
        <row r="19">
          <cell r="B19" t="str">
            <v>花桥镇千丘田村</v>
          </cell>
          <cell r="C19" t="str">
            <v>基础设施</v>
          </cell>
          <cell r="D19" t="str">
            <v>新建</v>
          </cell>
          <cell r="E19" t="str">
            <v>千丘田村</v>
          </cell>
          <cell r="F19" t="str">
            <v>2017.1.1</v>
          </cell>
          <cell r="G19" t="str">
            <v>2017.12.31</v>
          </cell>
          <cell r="H19" t="str">
            <v>县交通运输局</v>
          </cell>
          <cell r="I19">
            <v>0.52</v>
          </cell>
          <cell r="J19">
            <v>7.904</v>
          </cell>
          <cell r="K19" t="str">
            <v>涉农整合资金</v>
          </cell>
          <cell r="L19">
            <v>217</v>
          </cell>
          <cell r="M19">
            <v>2112</v>
          </cell>
          <cell r="N19" t="str">
            <v>方便群众安全出行</v>
          </cell>
          <cell r="O19">
            <v>0.61</v>
          </cell>
        </row>
        <row r="19">
          <cell r="R19">
            <v>0.95</v>
          </cell>
        </row>
        <row r="20">
          <cell r="B20" t="str">
            <v>花桥镇火马塘村白泥铺-姚家冲</v>
          </cell>
          <cell r="C20" t="str">
            <v>基础设施</v>
          </cell>
          <cell r="D20" t="str">
            <v>新建</v>
          </cell>
          <cell r="E20" t="str">
            <v>火马塘村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0.949</v>
          </cell>
          <cell r="J20">
            <v>47.45</v>
          </cell>
          <cell r="K20" t="str">
            <v>涉农整合资金</v>
          </cell>
          <cell r="L20">
            <v>40</v>
          </cell>
          <cell r="M20">
            <v>623</v>
          </cell>
          <cell r="N20" t="str">
            <v>方便群众安全出行</v>
          </cell>
          <cell r="O20">
            <v>0.69</v>
          </cell>
          <cell r="P20">
            <v>40</v>
          </cell>
        </row>
        <row r="20">
          <cell r="R20">
            <v>0.95</v>
          </cell>
        </row>
        <row r="21">
          <cell r="B21" t="str">
            <v>花桥镇火马塘村火马塘-桃家坪</v>
          </cell>
          <cell r="C21" t="str">
            <v>基础设施</v>
          </cell>
          <cell r="D21" t="str">
            <v>新建</v>
          </cell>
          <cell r="E21" t="str">
            <v>火马塘村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3.269</v>
          </cell>
          <cell r="J21">
            <v>163.45</v>
          </cell>
          <cell r="K21" t="str">
            <v>涉农整合资金</v>
          </cell>
          <cell r="L21">
            <v>65</v>
          </cell>
          <cell r="M21">
            <v>511</v>
          </cell>
          <cell r="N21" t="str">
            <v>方便群众安全出行</v>
          </cell>
          <cell r="O21">
            <v>0.69</v>
          </cell>
          <cell r="P21">
            <v>65</v>
          </cell>
        </row>
        <row r="21">
          <cell r="R21">
            <v>0.95</v>
          </cell>
        </row>
        <row r="22">
          <cell r="B22" t="str">
            <v>花桥镇火马塘村长冲垅水库-坨院</v>
          </cell>
          <cell r="C22" t="str">
            <v>基础设施</v>
          </cell>
          <cell r="D22" t="str">
            <v>新建</v>
          </cell>
          <cell r="E22" t="str">
            <v>火马塘村</v>
          </cell>
          <cell r="F22" t="str">
            <v>2018.6.1</v>
          </cell>
          <cell r="G22" t="str">
            <v>2018.12.31</v>
          </cell>
          <cell r="H22" t="str">
            <v>县交通运输局</v>
          </cell>
          <cell r="I22">
            <v>0.958</v>
          </cell>
          <cell r="J22">
            <v>47.9</v>
          </cell>
          <cell r="K22" t="str">
            <v>涉农整合资金</v>
          </cell>
          <cell r="L22">
            <v>44</v>
          </cell>
          <cell r="M22">
            <v>411</v>
          </cell>
          <cell r="N22" t="str">
            <v>方便群众安全出行</v>
          </cell>
          <cell r="O22">
            <v>0.69</v>
          </cell>
          <cell r="P22">
            <v>44</v>
          </cell>
        </row>
        <row r="22">
          <cell r="R22">
            <v>0.95</v>
          </cell>
        </row>
        <row r="23">
          <cell r="B23" t="str">
            <v>花桥镇洞竹山村村小学-住里溪</v>
          </cell>
          <cell r="C23" t="str">
            <v>基础设施</v>
          </cell>
          <cell r="D23" t="str">
            <v>新建</v>
          </cell>
          <cell r="E23" t="str">
            <v>洞竹山村</v>
          </cell>
          <cell r="F23" t="str">
            <v>2018.6.1</v>
          </cell>
          <cell r="G23" t="str">
            <v>2018.12.31</v>
          </cell>
          <cell r="H23" t="str">
            <v>县交通运输局</v>
          </cell>
          <cell r="I23">
            <v>1.639</v>
          </cell>
          <cell r="J23">
            <v>81.95</v>
          </cell>
          <cell r="K23" t="str">
            <v>涉农整合资金</v>
          </cell>
          <cell r="L23">
            <v>182</v>
          </cell>
          <cell r="M23">
            <v>1521</v>
          </cell>
          <cell r="N23" t="str">
            <v>方便群众安全出行</v>
          </cell>
          <cell r="O23">
            <v>0.51</v>
          </cell>
        </row>
        <row r="23">
          <cell r="R23">
            <v>0.95</v>
          </cell>
        </row>
        <row r="24">
          <cell r="B24" t="str">
            <v>花桥镇排叶村下双枫湾至上双枫湾</v>
          </cell>
          <cell r="C24" t="str">
            <v>基础设施</v>
          </cell>
          <cell r="D24" t="str">
            <v>新建</v>
          </cell>
          <cell r="E24" t="str">
            <v>排叶村</v>
          </cell>
          <cell r="F24" t="str">
            <v>2018.6.1</v>
          </cell>
          <cell r="G24" t="str">
            <v>2018.12.31</v>
          </cell>
          <cell r="H24" t="str">
            <v>县交通运输局</v>
          </cell>
          <cell r="I24">
            <v>0.39</v>
          </cell>
          <cell r="J24">
            <v>4.45</v>
          </cell>
          <cell r="K24" t="str">
            <v>涉农整合资金</v>
          </cell>
          <cell r="L24">
            <v>30</v>
          </cell>
          <cell r="M24">
            <v>150</v>
          </cell>
          <cell r="N24" t="str">
            <v>方便群众安全出行</v>
          </cell>
          <cell r="O24">
            <v>0.61</v>
          </cell>
        </row>
        <row r="24">
          <cell r="R24">
            <v>0.95</v>
          </cell>
        </row>
        <row r="25">
          <cell r="B25" t="str">
            <v>花桥镇排叶村油麻冲至塘坝口</v>
          </cell>
          <cell r="C25" t="str">
            <v>基础设施</v>
          </cell>
          <cell r="D25" t="str">
            <v>新建</v>
          </cell>
          <cell r="E25" t="str">
            <v>排叶村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0.489</v>
          </cell>
          <cell r="J25">
            <v>5.57</v>
          </cell>
          <cell r="K25" t="str">
            <v>涉农整合资金</v>
          </cell>
          <cell r="L25">
            <v>50</v>
          </cell>
          <cell r="M25">
            <v>380</v>
          </cell>
          <cell r="N25" t="str">
            <v>方便群众安全出行</v>
          </cell>
          <cell r="O25">
            <v>0.61</v>
          </cell>
        </row>
        <row r="25">
          <cell r="R25">
            <v>0.95</v>
          </cell>
        </row>
        <row r="26">
          <cell r="B26" t="str">
            <v>花桥镇三冲口村公路工和</v>
          </cell>
          <cell r="C26" t="str">
            <v>基础设施</v>
          </cell>
          <cell r="D26" t="str">
            <v>新建</v>
          </cell>
          <cell r="E26" t="str">
            <v>三冲口村</v>
          </cell>
          <cell r="F26" t="str">
            <v>2017.1.1</v>
          </cell>
          <cell r="G26" t="str">
            <v>2017.12.31</v>
          </cell>
          <cell r="H26" t="str">
            <v>县交通运输局</v>
          </cell>
          <cell r="I26">
            <v>6.747</v>
          </cell>
          <cell r="J26">
            <v>102.5544</v>
          </cell>
        </row>
        <row r="26">
          <cell r="L26">
            <v>59</v>
          </cell>
          <cell r="M26">
            <v>604</v>
          </cell>
          <cell r="N26" t="str">
            <v>方便群众安全出行</v>
          </cell>
          <cell r="O26">
            <v>0.62</v>
          </cell>
        </row>
        <row r="26">
          <cell r="R26">
            <v>0.95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 t="str">
            <v>序号</v>
          </cell>
          <cell r="B3" t="str">
            <v>项目名称</v>
          </cell>
          <cell r="C3" t="str">
            <v>项目类别</v>
          </cell>
          <cell r="D3" t="str">
            <v>建设性质</v>
          </cell>
          <cell r="E3" t="str">
            <v>实施地点</v>
          </cell>
          <cell r="F3" t="str">
            <v>时间进度</v>
          </cell>
        </row>
        <row r="3">
          <cell r="H3" t="str">
            <v>责任单位</v>
          </cell>
          <cell r="I3" t="str">
            <v>建设任务</v>
          </cell>
          <cell r="J3" t="str">
            <v>资金规模</v>
          </cell>
          <cell r="K3" t="str">
            <v>筹资方式</v>
          </cell>
          <cell r="L3" t="str">
            <v>受益对象</v>
          </cell>
        </row>
        <row r="3">
          <cell r="N3" t="str">
            <v>绩效目标</v>
          </cell>
          <cell r="O3" t="str">
            <v>贫困户参与度</v>
          </cell>
          <cell r="P3" t="str">
            <v>带贫减贫机制</v>
          </cell>
        </row>
        <row r="4">
          <cell r="F4" t="str">
            <v>计划开工时间</v>
          </cell>
          <cell r="G4" t="str">
            <v>计划完工时间</v>
          </cell>
        </row>
        <row r="4">
          <cell r="L4" t="str">
            <v>贫困人口</v>
          </cell>
          <cell r="M4" t="str">
            <v>非贫困人口</v>
          </cell>
        </row>
        <row r="4">
          <cell r="P4" t="str">
            <v>巩固提升脱贫人口数</v>
          </cell>
          <cell r="Q4" t="str">
            <v>贫困人口人均增收金额</v>
          </cell>
          <cell r="R4" t="str">
            <v>群众认可度</v>
          </cell>
        </row>
        <row r="5">
          <cell r="A5" t="str">
            <v>总计</v>
          </cell>
        </row>
        <row r="6">
          <cell r="A6">
            <v>1</v>
          </cell>
          <cell r="B6" t="str">
            <v>泸阳镇和平村杨家至竹子湾自然村通水泥路（自主实施）工程</v>
          </cell>
          <cell r="C6" t="str">
            <v>基础设施</v>
          </cell>
          <cell r="D6" t="str">
            <v>新建</v>
          </cell>
          <cell r="E6" t="str">
            <v>和平村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1.023</v>
          </cell>
          <cell r="J6">
            <v>11.66</v>
          </cell>
          <cell r="K6" t="str">
            <v>涉农整合资金</v>
          </cell>
          <cell r="L6" t="str">
            <v>50人</v>
          </cell>
          <cell r="M6" t="str">
            <v>56人</v>
          </cell>
          <cell r="N6" t="str">
            <v>解决二个组村民安全通行问题</v>
          </cell>
          <cell r="O6">
            <v>0.55</v>
          </cell>
          <cell r="P6" t="str">
            <v>50人</v>
          </cell>
        </row>
        <row r="6">
          <cell r="R6">
            <v>1</v>
          </cell>
        </row>
        <row r="7">
          <cell r="A7">
            <v>2</v>
          </cell>
          <cell r="B7" t="str">
            <v>泸阳镇和平村八一组至瓦窑现自然村通水泥路（自主实施）工程</v>
          </cell>
          <cell r="C7" t="str">
            <v>基础设施</v>
          </cell>
          <cell r="D7" t="str">
            <v>新建</v>
          </cell>
          <cell r="E7" t="str">
            <v>和平村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0.62</v>
          </cell>
          <cell r="J7">
            <v>7.07</v>
          </cell>
          <cell r="K7" t="str">
            <v>涉农整合资金</v>
          </cell>
          <cell r="L7" t="str">
            <v>18人</v>
          </cell>
          <cell r="M7" t="str">
            <v>80人</v>
          </cell>
          <cell r="N7" t="str">
            <v>解决了一个组村民安全通行</v>
          </cell>
          <cell r="O7">
            <v>0.55</v>
          </cell>
          <cell r="P7" t="str">
            <v>18人</v>
          </cell>
        </row>
        <row r="7">
          <cell r="R7">
            <v>1</v>
          </cell>
        </row>
        <row r="8">
          <cell r="A8">
            <v>3</v>
          </cell>
          <cell r="B8" t="str">
            <v>泸阳镇和平村杨柳坪至泸西村王家自然村通水泥路（自主实施）工程</v>
          </cell>
          <cell r="C8" t="str">
            <v>基础设施</v>
          </cell>
          <cell r="D8" t="str">
            <v>新建</v>
          </cell>
          <cell r="E8" t="str">
            <v>和平村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0.311</v>
          </cell>
          <cell r="J8">
            <v>3.55</v>
          </cell>
          <cell r="K8" t="str">
            <v>涉农整合资金</v>
          </cell>
          <cell r="L8" t="str">
            <v>15人</v>
          </cell>
          <cell r="M8" t="str">
            <v>112人</v>
          </cell>
          <cell r="N8" t="str">
            <v>解决了一个组村民安全通行且是两村互通的道路</v>
          </cell>
          <cell r="O8">
            <v>0.55</v>
          </cell>
          <cell r="P8" t="str">
            <v>15人</v>
          </cell>
        </row>
        <row r="8">
          <cell r="R8">
            <v>1</v>
          </cell>
        </row>
        <row r="9">
          <cell r="A9">
            <v>4</v>
          </cell>
          <cell r="B9" t="str">
            <v>泸阳镇金家冲村金家冲村组路自然村通水泥路（整村推进）工程</v>
          </cell>
          <cell r="C9" t="str">
            <v>基础设施</v>
          </cell>
          <cell r="D9" t="str">
            <v>新建</v>
          </cell>
          <cell r="E9" t="str">
            <v>金家冲村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0.156</v>
          </cell>
          <cell r="J9">
            <v>7.8</v>
          </cell>
          <cell r="K9" t="str">
            <v>涉农整合资金</v>
          </cell>
          <cell r="L9" t="str">
            <v>47人</v>
          </cell>
          <cell r="M9" t="str">
            <v>321人</v>
          </cell>
          <cell r="N9" t="str">
            <v>解决了368人安全通行问题</v>
          </cell>
          <cell r="O9">
            <v>0.55</v>
          </cell>
          <cell r="P9" t="str">
            <v>47人</v>
          </cell>
        </row>
        <row r="9">
          <cell r="R9">
            <v>1</v>
          </cell>
        </row>
        <row r="10">
          <cell r="A10">
            <v>5</v>
          </cell>
          <cell r="B10" t="str">
            <v>泸阳镇和平村沙坪至大团公路工程</v>
          </cell>
          <cell r="C10" t="str">
            <v>基础设施</v>
          </cell>
          <cell r="D10" t="str">
            <v>新建</v>
          </cell>
          <cell r="E10" t="str">
            <v>和平村</v>
          </cell>
          <cell r="F10" t="str">
            <v>2017.1.1</v>
          </cell>
          <cell r="G10" t="str">
            <v>2017.12.31</v>
          </cell>
          <cell r="H10" t="str">
            <v>县交通运输局</v>
          </cell>
          <cell r="I10">
            <v>1.5</v>
          </cell>
          <cell r="J10">
            <v>15</v>
          </cell>
          <cell r="K10" t="str">
            <v>涉农整合资金</v>
          </cell>
          <cell r="L10" t="str">
            <v>85人</v>
          </cell>
          <cell r="M10" t="str">
            <v>759人</v>
          </cell>
          <cell r="N10" t="str">
            <v>解决了844人的安全出行问题</v>
          </cell>
          <cell r="O10">
            <v>0.55</v>
          </cell>
          <cell r="P10" t="str">
            <v>85人</v>
          </cell>
        </row>
        <row r="10">
          <cell r="R10">
            <v>1</v>
          </cell>
        </row>
        <row r="11">
          <cell r="A11">
            <v>6</v>
          </cell>
          <cell r="B11" t="str">
            <v>泸阳镇泸西村护柱组至新屋场自然村通水泥路（自主实施）工程</v>
          </cell>
          <cell r="C11" t="str">
            <v>基础设施</v>
          </cell>
          <cell r="D11" t="str">
            <v>新建</v>
          </cell>
          <cell r="E11" t="str">
            <v>泸西村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0.776</v>
          </cell>
          <cell r="J11">
            <v>8.85</v>
          </cell>
          <cell r="K11" t="str">
            <v>财政涉农统筹资金</v>
          </cell>
          <cell r="L11" t="str">
            <v>38人</v>
          </cell>
          <cell r="M11" t="str">
            <v>410人</v>
          </cell>
          <cell r="N11" t="str">
            <v>公路硬化工程</v>
          </cell>
          <cell r="O11">
            <v>0.58</v>
          </cell>
          <cell r="P11" t="str">
            <v>372人</v>
          </cell>
        </row>
        <row r="11">
          <cell r="R11">
            <v>1</v>
          </cell>
        </row>
        <row r="12">
          <cell r="A12">
            <v>7</v>
          </cell>
          <cell r="B12" t="str">
            <v>泸阳镇泸西村两背组至农里自然村通水泥路（自主实施）工程</v>
          </cell>
          <cell r="C12" t="str">
            <v>基础设施</v>
          </cell>
          <cell r="D12" t="str">
            <v>新建</v>
          </cell>
          <cell r="E12" t="str">
            <v>泸西村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0.305</v>
          </cell>
          <cell r="J12">
            <v>3.48</v>
          </cell>
          <cell r="K12" t="str">
            <v>财政统筹资金</v>
          </cell>
          <cell r="L12" t="str">
            <v>　13人</v>
          </cell>
          <cell r="M12" t="str">
            <v>　133人</v>
          </cell>
          <cell r="N12" t="str">
            <v>公路硬化工程</v>
          </cell>
          <cell r="O12">
            <v>0.58</v>
          </cell>
          <cell r="P12" t="str">
            <v>120人</v>
          </cell>
        </row>
        <row r="12">
          <cell r="R12">
            <v>1</v>
          </cell>
        </row>
        <row r="13">
          <cell r="A13">
            <v>8</v>
          </cell>
          <cell r="B13" t="str">
            <v>泸阳镇大斗村大斗村至腰子坪公路工程</v>
          </cell>
          <cell r="C13" t="str">
            <v>基础设施</v>
          </cell>
          <cell r="D13" t="str">
            <v>新建</v>
          </cell>
          <cell r="E13" t="str">
            <v>大斗村</v>
          </cell>
          <cell r="F13" t="str">
            <v>2017.1.1</v>
          </cell>
          <cell r="G13" t="str">
            <v>2017.12.31</v>
          </cell>
          <cell r="H13" t="str">
            <v>县交通运输局</v>
          </cell>
          <cell r="I13">
            <v>2.5</v>
          </cell>
          <cell r="J13">
            <v>35</v>
          </cell>
          <cell r="K13" t="str">
            <v>涉农整合资金</v>
          </cell>
          <cell r="L13">
            <v>375</v>
          </cell>
          <cell r="M13">
            <v>3313</v>
          </cell>
          <cell r="N13" t="str">
            <v>解决全村群众的出行问题</v>
          </cell>
          <cell r="O13">
            <v>0.58</v>
          </cell>
          <cell r="P13" t="str">
            <v>345人</v>
          </cell>
        </row>
        <row r="13">
          <cell r="R13">
            <v>1</v>
          </cell>
        </row>
        <row r="14">
          <cell r="A14">
            <v>9</v>
          </cell>
          <cell r="B14" t="str">
            <v>泸阳镇泸阳村王家元至岩底洞自然村通水泥路（自主实施）工程</v>
          </cell>
          <cell r="C14" t="str">
            <v>基础设施</v>
          </cell>
          <cell r="D14" t="str">
            <v>新建</v>
          </cell>
          <cell r="E14" t="str">
            <v>泸阳村</v>
          </cell>
          <cell r="F14" t="str">
            <v>2018.6.1</v>
          </cell>
          <cell r="G14" t="str">
            <v>2018.12.31</v>
          </cell>
          <cell r="H14" t="str">
            <v>县交通运输局</v>
          </cell>
          <cell r="I14">
            <v>0.5</v>
          </cell>
          <cell r="J14">
            <v>5.7</v>
          </cell>
          <cell r="K14" t="str">
            <v>涉农整合资金</v>
          </cell>
          <cell r="L14">
            <v>36</v>
          </cell>
          <cell r="M14">
            <v>350</v>
          </cell>
          <cell r="N14" t="str">
            <v>巩固脱贫成效</v>
          </cell>
          <cell r="O14">
            <v>0.59</v>
          </cell>
          <cell r="P14">
            <v>36</v>
          </cell>
        </row>
        <row r="14">
          <cell r="R14">
            <v>1</v>
          </cell>
        </row>
        <row r="15">
          <cell r="A15">
            <v>10</v>
          </cell>
          <cell r="B15" t="str">
            <v>泸阳镇泸阳村敬老院至丽水山庄自然村通水泥路（自主实施）工程</v>
          </cell>
          <cell r="C15" t="str">
            <v>基础设施</v>
          </cell>
          <cell r="D15" t="str">
            <v>新建</v>
          </cell>
          <cell r="E15" t="str">
            <v>泸阳村</v>
          </cell>
          <cell r="F15" t="str">
            <v>2018.6.1</v>
          </cell>
          <cell r="G15" t="str">
            <v>2018.12.31</v>
          </cell>
          <cell r="H15" t="str">
            <v>县交通运输局</v>
          </cell>
          <cell r="I15">
            <v>0.3</v>
          </cell>
          <cell r="J15">
            <v>3.42</v>
          </cell>
          <cell r="K15" t="str">
            <v>涉农整合资金</v>
          </cell>
          <cell r="L15">
            <v>24</v>
          </cell>
          <cell r="M15">
            <v>410</v>
          </cell>
          <cell r="N15" t="str">
            <v>巩固脱贫成效</v>
          </cell>
          <cell r="O15">
            <v>0.59</v>
          </cell>
          <cell r="P15">
            <v>24</v>
          </cell>
        </row>
        <row r="15">
          <cell r="R15">
            <v>1</v>
          </cell>
        </row>
        <row r="16">
          <cell r="A16">
            <v>11</v>
          </cell>
          <cell r="B16" t="str">
            <v>泸阳镇泸阳村中完至花果山至中三组环边垅自然村通水泥路（自主实施）工程</v>
          </cell>
          <cell r="C16" t="str">
            <v>基础设施</v>
          </cell>
          <cell r="D16" t="str">
            <v>新建</v>
          </cell>
          <cell r="E16" t="str">
            <v>泸阳村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  <cell r="I16">
            <v>0.305</v>
          </cell>
          <cell r="J16">
            <v>3.48</v>
          </cell>
          <cell r="K16" t="str">
            <v>涉农整合资金</v>
          </cell>
          <cell r="L16">
            <v>8</v>
          </cell>
          <cell r="M16">
            <v>485</v>
          </cell>
          <cell r="N16" t="str">
            <v>巩固脱贫成效</v>
          </cell>
          <cell r="O16">
            <v>0.59</v>
          </cell>
          <cell r="P16">
            <v>8</v>
          </cell>
        </row>
        <row r="16">
          <cell r="R16">
            <v>1</v>
          </cell>
        </row>
        <row r="17">
          <cell r="A17">
            <v>12</v>
          </cell>
          <cell r="B17" t="str">
            <v>泸阳镇小坪村小坪-岩底洞自然村通水泥路（整村推进）工程</v>
          </cell>
          <cell r="C17" t="str">
            <v>基础设施</v>
          </cell>
          <cell r="D17" t="str">
            <v>新建</v>
          </cell>
          <cell r="E17" t="str">
            <v>小坪村</v>
          </cell>
          <cell r="F17">
            <v>2018.1</v>
          </cell>
          <cell r="G17" t="str">
            <v>2018.12.31</v>
          </cell>
          <cell r="H17" t="str">
            <v>县交通运输局</v>
          </cell>
          <cell r="I17">
            <v>0.886</v>
          </cell>
          <cell r="J17">
            <v>44.3</v>
          </cell>
          <cell r="K17" t="str">
            <v>涉农整合资金</v>
          </cell>
          <cell r="L17">
            <v>38</v>
          </cell>
          <cell r="M17">
            <v>310</v>
          </cell>
          <cell r="N17" t="str">
            <v>巩固脱贫成效</v>
          </cell>
          <cell r="O17">
            <v>0.59</v>
          </cell>
          <cell r="P17">
            <v>38</v>
          </cell>
        </row>
        <row r="17">
          <cell r="R17">
            <v>1</v>
          </cell>
        </row>
        <row r="18">
          <cell r="A18">
            <v>13</v>
          </cell>
          <cell r="B18" t="str">
            <v>泸阳镇泸阳村碑一至周家组自然村通水泥路（自主实施）工程</v>
          </cell>
          <cell r="C18" t="str">
            <v>基础设施</v>
          </cell>
          <cell r="D18" t="str">
            <v>新建</v>
          </cell>
          <cell r="E18" t="str">
            <v>泸阳村</v>
          </cell>
          <cell r="F18" t="str">
            <v>2018.6.1</v>
          </cell>
          <cell r="G18" t="str">
            <v>2018.12.31</v>
          </cell>
          <cell r="H18" t="str">
            <v>县交通运输局</v>
          </cell>
          <cell r="I18">
            <v>1.5</v>
          </cell>
          <cell r="J18">
            <v>17.1</v>
          </cell>
          <cell r="K18" t="str">
            <v>涉农整合资金</v>
          </cell>
          <cell r="L18">
            <v>35</v>
          </cell>
          <cell r="M18">
            <v>216</v>
          </cell>
          <cell r="N18" t="str">
            <v>巩固脱贫成效</v>
          </cell>
          <cell r="O18">
            <v>0.59</v>
          </cell>
          <cell r="P18">
            <v>35</v>
          </cell>
        </row>
        <row r="18">
          <cell r="R18">
            <v>1</v>
          </cell>
        </row>
        <row r="19">
          <cell r="A19">
            <v>14</v>
          </cell>
          <cell r="B19" t="str">
            <v>泸阳镇泸阳村泸磷路至牛套冲组自然村通水泥路（自主实施）工程</v>
          </cell>
          <cell r="C19" t="str">
            <v>基础设施</v>
          </cell>
          <cell r="D19" t="str">
            <v>新建</v>
          </cell>
          <cell r="E19" t="str">
            <v>泸阳村</v>
          </cell>
          <cell r="F19" t="str">
            <v>2018.6.1</v>
          </cell>
          <cell r="G19" t="str">
            <v>2018.12.31</v>
          </cell>
          <cell r="H19" t="str">
            <v>县交通运输局</v>
          </cell>
          <cell r="I19">
            <v>2.2</v>
          </cell>
          <cell r="J19">
            <v>25.08</v>
          </cell>
          <cell r="K19" t="str">
            <v>涉农整合资金</v>
          </cell>
          <cell r="L19">
            <v>12</v>
          </cell>
          <cell r="M19">
            <v>582</v>
          </cell>
          <cell r="N19" t="str">
            <v>巩固脱贫成效</v>
          </cell>
          <cell r="O19">
            <v>0.59</v>
          </cell>
          <cell r="P19">
            <v>12</v>
          </cell>
        </row>
        <row r="19">
          <cell r="R19">
            <v>1</v>
          </cell>
        </row>
        <row r="20">
          <cell r="A20">
            <v>15</v>
          </cell>
          <cell r="B20" t="str">
            <v>泸阳镇金塘村金塘村组路自然村通水泥路（整村推进）工程</v>
          </cell>
          <cell r="C20" t="str">
            <v>基础设施</v>
          </cell>
          <cell r="D20" t="str">
            <v>新建</v>
          </cell>
          <cell r="E20" t="str">
            <v>金塘村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1.297</v>
          </cell>
          <cell r="J20">
            <v>64.85</v>
          </cell>
          <cell r="K20" t="str">
            <v>涉农整合资金</v>
          </cell>
          <cell r="L20">
            <v>62</v>
          </cell>
          <cell r="M20">
            <v>1710</v>
          </cell>
          <cell r="N20" t="str">
            <v>巩固脱贫成效</v>
          </cell>
          <cell r="O20">
            <v>0.59</v>
          </cell>
          <cell r="P20">
            <v>62</v>
          </cell>
        </row>
        <row r="20">
          <cell r="R20">
            <v>1</v>
          </cell>
        </row>
        <row r="21">
          <cell r="A21">
            <v>16</v>
          </cell>
          <cell r="B21" t="str">
            <v>泸阳镇小坪村碑头-周家自然村通水泥路（整村推进）工程</v>
          </cell>
          <cell r="C21" t="str">
            <v>基础设施</v>
          </cell>
          <cell r="D21" t="str">
            <v>新建</v>
          </cell>
          <cell r="E21" t="str">
            <v>小坪村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0.454</v>
          </cell>
          <cell r="J21">
            <v>22.7</v>
          </cell>
          <cell r="K21" t="str">
            <v>涉农整合资金</v>
          </cell>
          <cell r="L21">
            <v>35</v>
          </cell>
          <cell r="M21">
            <v>216</v>
          </cell>
          <cell r="N21" t="str">
            <v>巩固脱贫成效</v>
          </cell>
          <cell r="O21">
            <v>0.59</v>
          </cell>
          <cell r="P21">
            <v>35</v>
          </cell>
        </row>
        <row r="21">
          <cell r="R21">
            <v>1</v>
          </cell>
        </row>
        <row r="22">
          <cell r="A22">
            <v>17</v>
          </cell>
          <cell r="B22" t="str">
            <v>　泸阳镇五里村</v>
          </cell>
          <cell r="C22" t="str">
            <v>基础设施</v>
          </cell>
          <cell r="D22" t="str">
            <v>　新建</v>
          </cell>
          <cell r="E22" t="str">
            <v>　五里</v>
          </cell>
          <cell r="F22" t="str">
            <v>　2017.1.1</v>
          </cell>
          <cell r="G22" t="str">
            <v>　2017.12.31</v>
          </cell>
          <cell r="H22" t="str">
            <v>县交通局</v>
          </cell>
          <cell r="I22" t="str">
            <v>10.5公里</v>
          </cell>
          <cell r="J22">
            <v>131.25</v>
          </cell>
          <cell r="K22" t="str">
            <v>涉农整合资金</v>
          </cell>
          <cell r="L22">
            <v>522</v>
          </cell>
          <cell r="M22">
            <v>4735</v>
          </cell>
          <cell r="N22" t="str">
            <v>　巩固脱贫成效　</v>
          </cell>
          <cell r="O22">
            <v>0.53</v>
          </cell>
          <cell r="P22">
            <v>522</v>
          </cell>
        </row>
        <row r="22">
          <cell r="R22">
            <v>1</v>
          </cell>
        </row>
        <row r="23">
          <cell r="A23">
            <v>18</v>
          </cell>
          <cell r="B23" t="str">
            <v>泸阳镇桥上村桥上村至东浪组公路工程</v>
          </cell>
          <cell r="C23" t="str">
            <v>基础设施</v>
          </cell>
          <cell r="D23" t="str">
            <v>新建</v>
          </cell>
          <cell r="E23" t="str">
            <v>桥上村</v>
          </cell>
          <cell r="F23" t="str">
            <v>2017.1.1</v>
          </cell>
          <cell r="G23" t="str">
            <v>2017.12.31</v>
          </cell>
          <cell r="H23" t="str">
            <v>县交通运输局</v>
          </cell>
          <cell r="I23">
            <v>0.35</v>
          </cell>
          <cell r="J23">
            <v>6.125</v>
          </cell>
          <cell r="K23" t="str">
            <v>涉农整合资金</v>
          </cell>
          <cell r="L23">
            <v>26</v>
          </cell>
          <cell r="M23">
            <v>108</v>
          </cell>
          <cell r="N23" t="str">
            <v>改善东浪组交通条件，方便村民出行</v>
          </cell>
          <cell r="O23">
            <v>0.51</v>
          </cell>
          <cell r="P23">
            <v>26</v>
          </cell>
        </row>
        <row r="23">
          <cell r="R23">
            <v>1</v>
          </cell>
        </row>
        <row r="24">
          <cell r="A24">
            <v>19</v>
          </cell>
          <cell r="B24" t="str">
            <v>泸阳镇壮稻村壮稻至竹园山庄公路工程</v>
          </cell>
          <cell r="C24" t="str">
            <v>基础设施</v>
          </cell>
          <cell r="D24" t="str">
            <v>新建</v>
          </cell>
          <cell r="E24" t="str">
            <v>桥上村</v>
          </cell>
          <cell r="F24" t="str">
            <v>2017.1.1</v>
          </cell>
          <cell r="G24" t="str">
            <v>2017.12.31</v>
          </cell>
          <cell r="H24" t="str">
            <v>县交通运输局</v>
          </cell>
          <cell r="I24">
            <v>1</v>
          </cell>
          <cell r="J24">
            <v>12.5</v>
          </cell>
          <cell r="K24" t="str">
            <v>涉农整合资金</v>
          </cell>
          <cell r="L24">
            <v>691</v>
          </cell>
          <cell r="M24">
            <v>2592</v>
          </cell>
          <cell r="N24" t="str">
            <v>改善本村交通条件，方便村民出行</v>
          </cell>
          <cell r="O24">
            <v>0.51</v>
          </cell>
          <cell r="P24">
            <v>691</v>
          </cell>
        </row>
        <row r="25">
          <cell r="A25">
            <v>20</v>
          </cell>
          <cell r="B25" t="str">
            <v>新店坪村拖船溪至佑门塘自</v>
          </cell>
          <cell r="C25" t="str">
            <v>基础设施</v>
          </cell>
          <cell r="D25" t="str">
            <v>新建</v>
          </cell>
          <cell r="E25" t="str">
            <v>新店坪村　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0.365</v>
          </cell>
          <cell r="J25">
            <v>4.16</v>
          </cell>
          <cell r="K25" t="str">
            <v>涉农整合资金</v>
          </cell>
          <cell r="L25">
            <v>87</v>
          </cell>
          <cell r="M25">
            <v>2244</v>
          </cell>
          <cell r="N25" t="str">
            <v>方便村民出行　</v>
          </cell>
          <cell r="O25">
            <v>0.88</v>
          </cell>
          <cell r="P25">
            <v>73</v>
          </cell>
        </row>
        <row r="25">
          <cell r="R25">
            <v>1</v>
          </cell>
        </row>
        <row r="26">
          <cell r="A26">
            <v>21</v>
          </cell>
          <cell r="B26" t="str">
            <v>泸阳镇下坪村考场至花树塘</v>
          </cell>
          <cell r="C26" t="str">
            <v>基础设施</v>
          </cell>
          <cell r="D26" t="str">
            <v>新建</v>
          </cell>
          <cell r="E26" t="str">
            <v>下坪村</v>
          </cell>
          <cell r="F26" t="str">
            <v>2018.6.1</v>
          </cell>
          <cell r="G26" t="str">
            <v>2018.12.31</v>
          </cell>
          <cell r="H26" t="str">
            <v>县交通运输局</v>
          </cell>
          <cell r="I26">
            <v>1.072</v>
          </cell>
          <cell r="J26">
            <v>12.2208</v>
          </cell>
          <cell r="K26" t="str">
            <v>涉农整合资金</v>
          </cell>
          <cell r="L26">
            <v>177</v>
          </cell>
          <cell r="M26">
            <v>2773</v>
          </cell>
          <cell r="N26" t="str">
            <v>项目实施后解决全村2950人行路难问题</v>
          </cell>
          <cell r="O26" t="str">
            <v>60%</v>
          </cell>
          <cell r="P26">
            <v>161</v>
          </cell>
        </row>
        <row r="26">
          <cell r="R26">
            <v>1</v>
          </cell>
        </row>
        <row r="27">
          <cell r="A27">
            <v>22</v>
          </cell>
          <cell r="B27" t="str">
            <v>泸阳镇下坪村村部至阳老头</v>
          </cell>
          <cell r="C27" t="str">
            <v>基础设施</v>
          </cell>
          <cell r="D27" t="str">
            <v>新建</v>
          </cell>
          <cell r="E27" t="str">
            <v>下坪村</v>
          </cell>
          <cell r="F27" t="str">
            <v>2018.6.1</v>
          </cell>
          <cell r="G27" t="str">
            <v>2018.12.31</v>
          </cell>
          <cell r="H27" t="str">
            <v>县交通运输局</v>
          </cell>
          <cell r="I27">
            <v>0.36</v>
          </cell>
          <cell r="J27">
            <v>4.1</v>
          </cell>
          <cell r="K27" t="str">
            <v>涉农整合资金</v>
          </cell>
          <cell r="L27">
            <v>177</v>
          </cell>
          <cell r="M27">
            <v>2773</v>
          </cell>
          <cell r="N27" t="str">
            <v>项目实施后解决全村2950人行路难问题</v>
          </cell>
          <cell r="O27" t="str">
            <v>60%</v>
          </cell>
          <cell r="P27">
            <v>161</v>
          </cell>
        </row>
        <row r="27">
          <cell r="R27">
            <v>1</v>
          </cell>
        </row>
        <row r="28">
          <cell r="A28">
            <v>23</v>
          </cell>
          <cell r="B28" t="str">
            <v>泸阳镇下坪村</v>
          </cell>
          <cell r="C28" t="str">
            <v>基础设施</v>
          </cell>
          <cell r="D28" t="str">
            <v>新建</v>
          </cell>
          <cell r="E28" t="str">
            <v>下坪村</v>
          </cell>
          <cell r="F28" t="str">
            <v>2017.1.1</v>
          </cell>
          <cell r="G28" t="str">
            <v>2017.12.31</v>
          </cell>
          <cell r="H28" t="str">
            <v>县交通运输局</v>
          </cell>
          <cell r="I28">
            <v>3</v>
          </cell>
          <cell r="J28">
            <v>52.5</v>
          </cell>
          <cell r="K28" t="str">
            <v>涉农整合资金</v>
          </cell>
          <cell r="L28">
            <v>177</v>
          </cell>
          <cell r="M28">
            <v>2773</v>
          </cell>
          <cell r="N28" t="str">
            <v>项目实施后解决全村2950人行路难问题</v>
          </cell>
          <cell r="O28" t="str">
            <v>60%</v>
          </cell>
          <cell r="P28">
            <v>161</v>
          </cell>
        </row>
        <row r="28">
          <cell r="R28">
            <v>1</v>
          </cell>
        </row>
        <row r="29">
          <cell r="A29">
            <v>24</v>
          </cell>
          <cell r="B29" t="str">
            <v>泸阳镇白洋坪村白洋坪至塘湾组公路工程</v>
          </cell>
          <cell r="C29" t="str">
            <v>基础设施</v>
          </cell>
          <cell r="D29" t="str">
            <v>新建</v>
          </cell>
          <cell r="E29" t="str">
            <v>白洋坪村</v>
          </cell>
          <cell r="F29" t="str">
            <v>2017.1.1</v>
          </cell>
          <cell r="G29" t="str">
            <v>2017.12.31</v>
          </cell>
          <cell r="H29" t="str">
            <v>县交通运输局</v>
          </cell>
          <cell r="I29">
            <v>1.5</v>
          </cell>
          <cell r="J29">
            <v>26.25</v>
          </cell>
          <cell r="K29" t="str">
            <v>涉农整合资金</v>
          </cell>
          <cell r="L29">
            <v>5</v>
          </cell>
          <cell r="M29">
            <v>105</v>
          </cell>
          <cell r="N29" t="str">
            <v>解决110人安全出行问题</v>
          </cell>
          <cell r="O29" t="str">
            <v>58%</v>
          </cell>
          <cell r="P29">
            <v>5</v>
          </cell>
        </row>
        <row r="29">
          <cell r="R29">
            <v>1</v>
          </cell>
        </row>
        <row r="30">
          <cell r="A30">
            <v>25</v>
          </cell>
          <cell r="B30" t="str">
            <v>泸阳镇细面垅村堵家村部至堰坝上</v>
          </cell>
          <cell r="C30" t="str">
            <v>基础设施</v>
          </cell>
          <cell r="D30" t="str">
            <v>新建</v>
          </cell>
          <cell r="E30" t="str">
            <v>细面垅村</v>
          </cell>
          <cell r="F30" t="str">
            <v>2018.6.1</v>
          </cell>
          <cell r="G30" t="str">
            <v>2018.12.31</v>
          </cell>
          <cell r="H30" t="str">
            <v>县交通运输局</v>
          </cell>
          <cell r="I30">
            <v>0.35</v>
          </cell>
          <cell r="J30">
            <v>3.99</v>
          </cell>
          <cell r="K30" t="str">
            <v>涉农整合资金</v>
          </cell>
          <cell r="L30">
            <v>102</v>
          </cell>
          <cell r="M30">
            <v>846</v>
          </cell>
          <cell r="N30" t="str">
            <v>解决全村群众的出行问题</v>
          </cell>
          <cell r="O30" t="str">
            <v>55%</v>
          </cell>
          <cell r="P30">
            <v>109</v>
          </cell>
        </row>
        <row r="30">
          <cell r="R30">
            <v>1</v>
          </cell>
        </row>
        <row r="31">
          <cell r="A31">
            <v>26</v>
          </cell>
          <cell r="B31" t="str">
            <v>泸阳镇细面垅村新屋场组至王楼组</v>
          </cell>
          <cell r="C31" t="str">
            <v>基础设施</v>
          </cell>
          <cell r="D31" t="str">
            <v>新建</v>
          </cell>
          <cell r="E31" t="str">
            <v>细面垅村</v>
          </cell>
          <cell r="F31" t="str">
            <v>2018.6.1</v>
          </cell>
          <cell r="G31" t="str">
            <v>2018.12.31</v>
          </cell>
          <cell r="H31" t="str">
            <v>县交通运输局</v>
          </cell>
          <cell r="I31">
            <v>1.6</v>
          </cell>
          <cell r="J31">
            <v>18.24</v>
          </cell>
          <cell r="K31" t="str">
            <v>涉农整合资金</v>
          </cell>
          <cell r="L31">
            <v>119</v>
          </cell>
          <cell r="M31">
            <v>1045</v>
          </cell>
          <cell r="N31" t="str">
            <v>解决全村群众的出行问题</v>
          </cell>
          <cell r="O31" t="str">
            <v>55%</v>
          </cell>
          <cell r="P31">
            <v>114</v>
          </cell>
        </row>
        <row r="31">
          <cell r="R31">
            <v>1</v>
          </cell>
        </row>
        <row r="32">
          <cell r="A32">
            <v>27</v>
          </cell>
          <cell r="B32" t="str">
            <v>泸阳镇细面垅村王家组至夏家井</v>
          </cell>
          <cell r="C32" t="str">
            <v>基础设施</v>
          </cell>
          <cell r="D32" t="str">
            <v>新建</v>
          </cell>
          <cell r="E32" t="str">
            <v>细面垅村</v>
          </cell>
          <cell r="F32" t="str">
            <v>2018.6.1</v>
          </cell>
          <cell r="G32" t="str">
            <v>2018.12.31</v>
          </cell>
          <cell r="H32" t="str">
            <v>县交通运输局</v>
          </cell>
          <cell r="I32">
            <v>0.7</v>
          </cell>
          <cell r="J32">
            <v>7.98</v>
          </cell>
          <cell r="K32" t="str">
            <v>涉农整合资金</v>
          </cell>
          <cell r="L32">
            <v>101</v>
          </cell>
          <cell r="M32">
            <v>620</v>
          </cell>
          <cell r="N32" t="str">
            <v>解决全村群众的出行问题</v>
          </cell>
          <cell r="O32" t="str">
            <v>55%</v>
          </cell>
          <cell r="P32">
            <v>98</v>
          </cell>
        </row>
        <row r="32">
          <cell r="R32">
            <v>1</v>
          </cell>
        </row>
        <row r="33">
          <cell r="A33">
            <v>28</v>
          </cell>
          <cell r="B33" t="str">
            <v>泸阳镇细缅垅村栗树坳-大门溪</v>
          </cell>
          <cell r="C33" t="str">
            <v>基础设施</v>
          </cell>
          <cell r="D33" t="str">
            <v>新建</v>
          </cell>
          <cell r="E33" t="str">
            <v>细缅垅村</v>
          </cell>
          <cell r="F33" t="str">
            <v>2018.6.1</v>
          </cell>
          <cell r="G33" t="str">
            <v>2018.12.31</v>
          </cell>
          <cell r="H33" t="str">
            <v>县交通运输局</v>
          </cell>
          <cell r="I33">
            <v>0.716</v>
          </cell>
          <cell r="J33">
            <v>35.8</v>
          </cell>
          <cell r="K33" t="str">
            <v>涉农整合资金</v>
          </cell>
          <cell r="L33">
            <v>73</v>
          </cell>
          <cell r="M33">
            <v>1800</v>
          </cell>
          <cell r="N33" t="str">
            <v>解决全村群众的出行问题</v>
          </cell>
          <cell r="O33" t="str">
            <v>55%</v>
          </cell>
          <cell r="P33">
            <v>72</v>
          </cell>
        </row>
        <row r="33">
          <cell r="R33">
            <v>1</v>
          </cell>
        </row>
        <row r="34">
          <cell r="A34">
            <v>29</v>
          </cell>
          <cell r="B34" t="str">
            <v>泸阳镇细缅垅村王家-毛家</v>
          </cell>
          <cell r="C34" t="str">
            <v>基础设施</v>
          </cell>
          <cell r="D34" t="str">
            <v>新建</v>
          </cell>
          <cell r="E34" t="str">
            <v>细缅垅村</v>
          </cell>
          <cell r="F34" t="str">
            <v>2018.6.1</v>
          </cell>
          <cell r="G34" t="str">
            <v>2018.12.31</v>
          </cell>
          <cell r="H34" t="str">
            <v>县交通运输局</v>
          </cell>
          <cell r="I34">
            <v>2.665</v>
          </cell>
          <cell r="J34">
            <v>133.25</v>
          </cell>
          <cell r="K34" t="str">
            <v>涉农整合资金</v>
          </cell>
          <cell r="L34">
            <v>112</v>
          </cell>
          <cell r="M34">
            <v>1280</v>
          </cell>
          <cell r="N34" t="str">
            <v>解决全村群众的出行问题</v>
          </cell>
          <cell r="O34" t="str">
            <v>55%</v>
          </cell>
          <cell r="P34">
            <v>107</v>
          </cell>
        </row>
        <row r="34">
          <cell r="R34">
            <v>1</v>
          </cell>
        </row>
        <row r="35">
          <cell r="A35">
            <v>30</v>
          </cell>
          <cell r="B35" t="str">
            <v>泸阳镇堵家村羊角湾-郑家冲</v>
          </cell>
          <cell r="C35" t="str">
            <v>基础设施</v>
          </cell>
          <cell r="D35" t="str">
            <v>新建</v>
          </cell>
          <cell r="E35" t="str">
            <v>细缅垅村</v>
          </cell>
          <cell r="F35" t="str">
            <v>2018.6.1</v>
          </cell>
          <cell r="G35" t="str">
            <v>2018.12.31</v>
          </cell>
          <cell r="H35" t="str">
            <v>县交通运输局</v>
          </cell>
          <cell r="I35">
            <v>1.525</v>
          </cell>
          <cell r="J35">
            <v>76.25</v>
          </cell>
          <cell r="K35" t="str">
            <v>涉农整合资金</v>
          </cell>
          <cell r="L35">
            <v>87</v>
          </cell>
          <cell r="M35">
            <v>920</v>
          </cell>
          <cell r="N35" t="str">
            <v>解决全村群众的出行问题</v>
          </cell>
          <cell r="O35" t="str">
            <v>55%</v>
          </cell>
          <cell r="P35">
            <v>84</v>
          </cell>
        </row>
        <row r="35">
          <cell r="R35">
            <v>1</v>
          </cell>
        </row>
        <row r="36">
          <cell r="A36">
            <v>31</v>
          </cell>
          <cell r="B36" t="str">
            <v>泸阳镇聂家村百泥铺至菜家田公路　</v>
          </cell>
          <cell r="C36" t="str">
            <v>基础设施　</v>
          </cell>
          <cell r="D36" t="str">
            <v>新建　</v>
          </cell>
          <cell r="E36" t="str">
            <v>聂家村　</v>
          </cell>
          <cell r="F36">
            <v>42736</v>
          </cell>
          <cell r="G36" t="str">
            <v>2017.12</v>
          </cell>
          <cell r="H36" t="str">
            <v>中方县交通局　</v>
          </cell>
          <cell r="I36" t="str">
            <v>硬化公路5.675千米　</v>
          </cell>
          <cell r="J36">
            <v>99.3125</v>
          </cell>
          <cell r="K36" t="str">
            <v>财政资金　</v>
          </cell>
          <cell r="L36">
            <v>51</v>
          </cell>
          <cell r="M36">
            <v>675</v>
          </cell>
          <cell r="N36" t="str">
            <v>在聂家村实施公路硬化方便726人出行　</v>
          </cell>
          <cell r="O36" t="str">
            <v>60%</v>
          </cell>
          <cell r="P36">
            <v>51</v>
          </cell>
        </row>
        <row r="36">
          <cell r="R36">
            <v>1</v>
          </cell>
        </row>
        <row r="37">
          <cell r="A37">
            <v>32</v>
          </cell>
          <cell r="B37" t="str">
            <v>泸阳镇聂家村南屋院桥　</v>
          </cell>
          <cell r="C37" t="str">
            <v>基础设施　</v>
          </cell>
          <cell r="D37" t="str">
            <v>新建　</v>
          </cell>
          <cell r="E37" t="str">
            <v>聂家村南屋院组　</v>
          </cell>
          <cell r="F37">
            <v>42736</v>
          </cell>
          <cell r="G37" t="str">
            <v>2017.12</v>
          </cell>
          <cell r="H37" t="str">
            <v>中方县交通局　</v>
          </cell>
          <cell r="I37" t="str">
            <v>建设桥梁一座及硬化公路80米　</v>
          </cell>
          <cell r="J37">
            <v>21</v>
          </cell>
          <cell r="K37" t="str">
            <v>　财政资金</v>
          </cell>
          <cell r="L37">
            <v>16</v>
          </cell>
          <cell r="M37">
            <v>156</v>
          </cell>
          <cell r="N37" t="str">
            <v>在南屋院组新建桥梁方便167人出行及生产　</v>
          </cell>
          <cell r="O37" t="str">
            <v>60%</v>
          </cell>
          <cell r="P37">
            <v>16</v>
          </cell>
        </row>
        <row r="37">
          <cell r="R37">
            <v>1</v>
          </cell>
        </row>
        <row r="38">
          <cell r="A38">
            <v>33</v>
          </cell>
          <cell r="B38" t="str">
            <v>泸阳镇鸡公坡村大坪至毛家自然村通水泥路（自主实施）工程</v>
          </cell>
          <cell r="C38" t="str">
            <v>基础设施</v>
          </cell>
          <cell r="D38" t="str">
            <v>新建</v>
          </cell>
          <cell r="E38" t="str">
            <v>鸡公坡村</v>
          </cell>
          <cell r="F38" t="str">
            <v>2018.6.1</v>
          </cell>
          <cell r="G38" t="str">
            <v>2018.12.31</v>
          </cell>
          <cell r="H38" t="str">
            <v>县交通运输局</v>
          </cell>
          <cell r="I38">
            <v>4.5</v>
          </cell>
          <cell r="J38">
            <v>51.3</v>
          </cell>
          <cell r="K38" t="str">
            <v>涉农整合资金</v>
          </cell>
          <cell r="L38">
            <v>40</v>
          </cell>
          <cell r="M38">
            <v>142</v>
          </cell>
          <cell r="N38" t="str">
            <v>项目实施后使全村182人办事出行更加方便</v>
          </cell>
          <cell r="O38">
            <v>0.52</v>
          </cell>
          <cell r="P38">
            <v>40</v>
          </cell>
        </row>
        <row r="38">
          <cell r="R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3"/>
  <sheetViews>
    <sheetView tabSelected="1" zoomScale="85" zoomScaleNormal="85" workbookViewId="0">
      <pane ySplit="5" topLeftCell="A6" activePane="bottomLeft" state="frozen"/>
      <selection/>
      <selection pane="bottomLeft" activeCell="I4" sqref="I4:I5"/>
    </sheetView>
  </sheetViews>
  <sheetFormatPr defaultColWidth="9" defaultRowHeight="14.25"/>
  <cols>
    <col min="1" max="1" width="7" style="1" customWidth="1"/>
    <col min="2" max="2" width="12.9" customWidth="1"/>
    <col min="6" max="6" width="14.5"/>
    <col min="7" max="7" width="12.9" customWidth="1"/>
    <col min="9" max="9" width="44.4083333333333" style="4" customWidth="1"/>
    <col min="10" max="10" width="14.9916666666667" customWidth="1"/>
    <col min="11" max="11" width="9" style="3"/>
    <col min="13" max="13" width="11.2" customWidth="1"/>
    <col min="14" max="14" width="24.3" style="5" customWidth="1"/>
  </cols>
  <sheetData>
    <row r="1" ht="30" customHeight="1" spans="1:14">
      <c r="A1" s="6" t="s">
        <v>0</v>
      </c>
      <c r="B1" s="7"/>
      <c r="C1" s="7"/>
      <c r="D1" s="8"/>
      <c r="E1" s="8"/>
      <c r="F1" s="8"/>
      <c r="G1" s="8"/>
      <c r="H1" s="8"/>
      <c r="I1" s="21"/>
      <c r="J1" s="8"/>
      <c r="K1" s="8"/>
      <c r="L1" s="8"/>
      <c r="M1" s="22"/>
      <c r="N1" s="23"/>
    </row>
    <row r="2" ht="42" customHeight="1" spans="1:14">
      <c r="A2" s="9" t="s">
        <v>1</v>
      </c>
      <c r="B2" s="9"/>
      <c r="C2" s="9"/>
      <c r="D2" s="9"/>
      <c r="E2" s="9"/>
      <c r="F2" s="9"/>
      <c r="G2" s="9"/>
      <c r="H2" s="9"/>
      <c r="I2" s="24"/>
      <c r="J2" s="9"/>
      <c r="K2" s="25"/>
      <c r="L2" s="9"/>
      <c r="M2" s="9"/>
      <c r="N2" s="26"/>
    </row>
    <row r="3" ht="24" customHeight="1" spans="1:14">
      <c r="A3" s="10" t="s">
        <v>2</v>
      </c>
      <c r="B3" s="11"/>
      <c r="C3" s="11"/>
      <c r="D3" s="11"/>
      <c r="E3" s="11"/>
      <c r="F3" s="11"/>
      <c r="G3" s="11"/>
      <c r="H3" s="11"/>
      <c r="I3" s="27"/>
      <c r="J3" s="11"/>
      <c r="K3" s="11"/>
      <c r="L3" s="11"/>
      <c r="M3" s="11"/>
      <c r="N3" s="28"/>
    </row>
    <row r="4" ht="27" customHeight="1" spans="1:1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/>
      <c r="N4" s="12" t="s">
        <v>14</v>
      </c>
    </row>
    <row r="5" ht="58.05" customHeight="1" spans="1:14">
      <c r="A5" s="12"/>
      <c r="B5" s="13"/>
      <c r="C5" s="13"/>
      <c r="D5" s="13"/>
      <c r="E5" s="13"/>
      <c r="F5" s="12" t="s">
        <v>15</v>
      </c>
      <c r="G5" s="12" t="s">
        <v>16</v>
      </c>
      <c r="H5" s="13"/>
      <c r="I5" s="13"/>
      <c r="J5" s="13"/>
      <c r="K5" s="12"/>
      <c r="L5" s="12" t="s">
        <v>17</v>
      </c>
      <c r="M5" s="29" t="s">
        <v>18</v>
      </c>
      <c r="N5" s="13"/>
    </row>
    <row r="6" s="1" customFormat="1" ht="34.95" customHeight="1" spans="1:14">
      <c r="A6" s="14"/>
      <c r="B6" s="14" t="s">
        <v>19</v>
      </c>
      <c r="C6" s="14"/>
      <c r="D6" s="14"/>
      <c r="E6" s="14"/>
      <c r="F6" s="14"/>
      <c r="G6" s="14"/>
      <c r="H6" s="14"/>
      <c r="I6" s="14"/>
      <c r="J6" s="30">
        <f>J7+J66+J442+J445</f>
        <v>18237.4863716905</v>
      </c>
      <c r="K6" s="31"/>
      <c r="L6" s="14"/>
      <c r="M6" s="32"/>
      <c r="N6" s="14"/>
    </row>
    <row r="7" ht="34.95" customHeight="1" spans="1:14">
      <c r="A7" s="15" t="s">
        <v>20</v>
      </c>
      <c r="B7" s="16"/>
      <c r="C7" s="16"/>
      <c r="D7" s="16"/>
      <c r="E7" s="16"/>
      <c r="F7" s="16"/>
      <c r="G7" s="17"/>
      <c r="H7" s="14"/>
      <c r="I7" s="14"/>
      <c r="J7" s="14">
        <v>4018.05</v>
      </c>
      <c r="K7" s="31"/>
      <c r="L7" s="14"/>
      <c r="M7" s="14"/>
      <c r="N7" s="14"/>
    </row>
    <row r="8" ht="79.95" customHeight="1" spans="1:14">
      <c r="A8" s="18">
        <v>1</v>
      </c>
      <c r="B8" s="18" t="s">
        <v>21</v>
      </c>
      <c r="C8" s="18" t="s">
        <v>22</v>
      </c>
      <c r="D8" s="18" t="s">
        <v>23</v>
      </c>
      <c r="E8" s="18" t="s">
        <v>24</v>
      </c>
      <c r="F8" s="19" t="s">
        <v>25</v>
      </c>
      <c r="G8" s="19" t="s">
        <v>26</v>
      </c>
      <c r="H8" s="18" t="s">
        <v>27</v>
      </c>
      <c r="I8" s="33" t="s">
        <v>28</v>
      </c>
      <c r="J8" s="18">
        <v>418.05</v>
      </c>
      <c r="K8" s="18" t="s">
        <v>29</v>
      </c>
      <c r="L8" s="18">
        <v>12962</v>
      </c>
      <c r="M8" s="18"/>
      <c r="N8" s="18" t="s">
        <v>30</v>
      </c>
    </row>
    <row r="9" ht="79.95" customHeight="1" spans="1:14">
      <c r="A9" s="18">
        <v>2</v>
      </c>
      <c r="B9" s="18" t="s">
        <v>31</v>
      </c>
      <c r="C9" s="18" t="s">
        <v>32</v>
      </c>
      <c r="D9" s="18" t="s">
        <v>23</v>
      </c>
      <c r="E9" s="18" t="s">
        <v>33</v>
      </c>
      <c r="F9" s="19">
        <v>2020.5</v>
      </c>
      <c r="G9" s="19">
        <v>2020.12</v>
      </c>
      <c r="H9" s="18" t="s">
        <v>34</v>
      </c>
      <c r="I9" s="33" t="s">
        <v>35</v>
      </c>
      <c r="J9" s="18">
        <v>250</v>
      </c>
      <c r="K9" s="18" t="s">
        <v>36</v>
      </c>
      <c r="L9" s="18">
        <v>840</v>
      </c>
      <c r="M9" s="18"/>
      <c r="N9" s="18" t="s">
        <v>35</v>
      </c>
    </row>
    <row r="10" ht="79.95" customHeight="1" spans="1:14">
      <c r="A10" s="18">
        <v>3</v>
      </c>
      <c r="B10" s="18" t="s">
        <v>37</v>
      </c>
      <c r="C10" s="18" t="s">
        <v>38</v>
      </c>
      <c r="D10" s="18" t="s">
        <v>23</v>
      </c>
      <c r="E10" s="18" t="s">
        <v>33</v>
      </c>
      <c r="F10" s="19">
        <v>2020.5</v>
      </c>
      <c r="G10" s="19">
        <v>2020.12</v>
      </c>
      <c r="H10" s="18" t="s">
        <v>34</v>
      </c>
      <c r="I10" s="33" t="s">
        <v>39</v>
      </c>
      <c r="J10" s="18">
        <v>30</v>
      </c>
      <c r="K10" s="18" t="s">
        <v>36</v>
      </c>
      <c r="L10" s="18">
        <v>20</v>
      </c>
      <c r="M10" s="18">
        <v>40</v>
      </c>
      <c r="N10" s="18" t="s">
        <v>40</v>
      </c>
    </row>
    <row r="11" ht="46.05" customHeight="1" spans="1:14">
      <c r="A11" s="18">
        <v>4</v>
      </c>
      <c r="B11" s="20" t="s">
        <v>41</v>
      </c>
      <c r="C11" s="20" t="s">
        <v>42</v>
      </c>
      <c r="D11" s="20" t="s">
        <v>23</v>
      </c>
      <c r="E11" s="20" t="s">
        <v>43</v>
      </c>
      <c r="F11" s="20">
        <v>2020.1</v>
      </c>
      <c r="G11" s="20">
        <v>2020.12</v>
      </c>
      <c r="H11" s="20" t="s">
        <v>44</v>
      </c>
      <c r="I11" s="20" t="s">
        <v>45</v>
      </c>
      <c r="J11" s="20">
        <v>20</v>
      </c>
      <c r="K11" s="18" t="s">
        <v>36</v>
      </c>
      <c r="L11" s="20">
        <v>3840</v>
      </c>
      <c r="M11" s="20"/>
      <c r="N11" s="20" t="s">
        <v>46</v>
      </c>
    </row>
    <row r="12" ht="70.05" customHeight="1" spans="1:14">
      <c r="A12" s="18">
        <v>5</v>
      </c>
      <c r="B12" s="20" t="s">
        <v>47</v>
      </c>
      <c r="C12" s="20" t="s">
        <v>48</v>
      </c>
      <c r="D12" s="20" t="s">
        <v>23</v>
      </c>
      <c r="E12" s="20" t="s">
        <v>33</v>
      </c>
      <c r="F12" s="20">
        <v>2020.01</v>
      </c>
      <c r="G12" s="20">
        <v>2020.12</v>
      </c>
      <c r="H12" s="20" t="s">
        <v>49</v>
      </c>
      <c r="I12" s="20" t="s">
        <v>50</v>
      </c>
      <c r="J12" s="20">
        <v>3027.2027</v>
      </c>
      <c r="K12" s="20" t="s">
        <v>36</v>
      </c>
      <c r="L12" s="20">
        <v>13000</v>
      </c>
      <c r="M12" s="20"/>
      <c r="N12" s="20" t="s">
        <v>51</v>
      </c>
    </row>
    <row r="13" ht="46.05" customHeight="1" spans="1:14">
      <c r="A13" s="18">
        <v>6</v>
      </c>
      <c r="B13" s="20" t="s">
        <v>52</v>
      </c>
      <c r="C13" s="20" t="s">
        <v>48</v>
      </c>
      <c r="D13" s="20" t="s">
        <v>23</v>
      </c>
      <c r="E13" s="20" t="s">
        <v>33</v>
      </c>
      <c r="F13" s="20">
        <v>2020.01</v>
      </c>
      <c r="G13" s="20">
        <v>2020.12</v>
      </c>
      <c r="H13" s="20" t="s">
        <v>49</v>
      </c>
      <c r="I13" s="20" t="s">
        <v>53</v>
      </c>
      <c r="J13" s="20">
        <v>50</v>
      </c>
      <c r="K13" s="20" t="s">
        <v>36</v>
      </c>
      <c r="L13" s="20">
        <v>1000</v>
      </c>
      <c r="M13" s="20">
        <v>2450</v>
      </c>
      <c r="N13" s="20" t="s">
        <v>54</v>
      </c>
    </row>
    <row r="14" ht="46.05" customHeight="1" spans="1:14">
      <c r="A14" s="18">
        <v>7</v>
      </c>
      <c r="B14" s="20" t="s">
        <v>55</v>
      </c>
      <c r="C14" s="20" t="s">
        <v>48</v>
      </c>
      <c r="D14" s="20" t="s">
        <v>23</v>
      </c>
      <c r="E14" s="20" t="s">
        <v>56</v>
      </c>
      <c r="F14" s="20">
        <v>2020.01</v>
      </c>
      <c r="G14" s="20">
        <v>2020.12</v>
      </c>
      <c r="H14" s="18" t="s">
        <v>57</v>
      </c>
      <c r="I14" s="20" t="s">
        <v>58</v>
      </c>
      <c r="J14" s="20">
        <v>5.76</v>
      </c>
      <c r="K14" s="20" t="s">
        <v>36</v>
      </c>
      <c r="L14" s="20">
        <v>85</v>
      </c>
      <c r="M14" s="20"/>
      <c r="N14" s="20" t="s">
        <v>59</v>
      </c>
    </row>
    <row r="15" ht="84" customHeight="1" spans="1:14">
      <c r="A15" s="18">
        <v>8</v>
      </c>
      <c r="B15" s="20" t="s">
        <v>60</v>
      </c>
      <c r="C15" s="20" t="s">
        <v>48</v>
      </c>
      <c r="D15" s="20" t="s">
        <v>23</v>
      </c>
      <c r="E15" s="20" t="s">
        <v>61</v>
      </c>
      <c r="F15" s="20">
        <v>2020.03</v>
      </c>
      <c r="G15" s="20">
        <v>2020.12</v>
      </c>
      <c r="H15" s="18" t="s">
        <v>57</v>
      </c>
      <c r="I15" s="20" t="s">
        <v>62</v>
      </c>
      <c r="J15" s="20">
        <v>8.376</v>
      </c>
      <c r="K15" s="20" t="s">
        <v>36</v>
      </c>
      <c r="L15" s="20">
        <v>68</v>
      </c>
      <c r="M15" s="20"/>
      <c r="N15" s="20" t="s">
        <v>63</v>
      </c>
    </row>
    <row r="16" ht="46.05" customHeight="1" spans="1:14">
      <c r="A16" s="18">
        <v>9</v>
      </c>
      <c r="B16" s="20" t="s">
        <v>64</v>
      </c>
      <c r="C16" s="20" t="s">
        <v>48</v>
      </c>
      <c r="D16" s="20" t="s">
        <v>23</v>
      </c>
      <c r="E16" s="20" t="s">
        <v>65</v>
      </c>
      <c r="F16" s="20">
        <v>2020.01</v>
      </c>
      <c r="G16" s="20">
        <v>2020.12</v>
      </c>
      <c r="H16" s="18" t="s">
        <v>57</v>
      </c>
      <c r="I16" s="20" t="s">
        <v>66</v>
      </c>
      <c r="J16" s="20">
        <v>4.56</v>
      </c>
      <c r="K16" s="20" t="s">
        <v>36</v>
      </c>
      <c r="L16" s="20">
        <v>130</v>
      </c>
      <c r="M16" s="20"/>
      <c r="N16" s="20" t="s">
        <v>67</v>
      </c>
    </row>
    <row r="17" ht="46.05" customHeight="1" spans="1:14">
      <c r="A17" s="18">
        <v>10</v>
      </c>
      <c r="B17" s="20" t="s">
        <v>68</v>
      </c>
      <c r="C17" s="20" t="s">
        <v>48</v>
      </c>
      <c r="D17" s="20" t="s">
        <v>23</v>
      </c>
      <c r="E17" s="20" t="s">
        <v>69</v>
      </c>
      <c r="F17" s="20">
        <v>2020.01</v>
      </c>
      <c r="G17" s="20">
        <v>2020.12</v>
      </c>
      <c r="H17" s="18" t="s">
        <v>57</v>
      </c>
      <c r="I17" s="20" t="s">
        <v>70</v>
      </c>
      <c r="J17" s="20">
        <v>3.52</v>
      </c>
      <c r="K17" s="20" t="s">
        <v>36</v>
      </c>
      <c r="L17" s="20">
        <v>96</v>
      </c>
      <c r="M17" s="20"/>
      <c r="N17" s="20" t="s">
        <v>71</v>
      </c>
    </row>
    <row r="18" ht="46.05" customHeight="1" spans="1:14">
      <c r="A18" s="18">
        <v>11</v>
      </c>
      <c r="B18" s="20" t="s">
        <v>72</v>
      </c>
      <c r="C18" s="20" t="s">
        <v>48</v>
      </c>
      <c r="D18" s="20" t="s">
        <v>23</v>
      </c>
      <c r="E18" s="20" t="s">
        <v>73</v>
      </c>
      <c r="F18" s="20">
        <v>2020.01</v>
      </c>
      <c r="G18" s="20">
        <v>2020.12</v>
      </c>
      <c r="H18" s="18" t="s">
        <v>57</v>
      </c>
      <c r="I18" s="20" t="s">
        <v>74</v>
      </c>
      <c r="J18" s="20">
        <v>9.92</v>
      </c>
      <c r="K18" s="20" t="s">
        <v>36</v>
      </c>
      <c r="L18" s="20">
        <v>92</v>
      </c>
      <c r="M18" s="20"/>
      <c r="N18" s="20" t="s">
        <v>75</v>
      </c>
    </row>
    <row r="19" ht="46.05" customHeight="1" spans="1:14">
      <c r="A19" s="18">
        <v>12</v>
      </c>
      <c r="B19" s="20" t="s">
        <v>76</v>
      </c>
      <c r="C19" s="20" t="s">
        <v>48</v>
      </c>
      <c r="D19" s="20" t="s">
        <v>23</v>
      </c>
      <c r="E19" s="20" t="s">
        <v>77</v>
      </c>
      <c r="F19" s="20">
        <v>2020.01</v>
      </c>
      <c r="G19" s="20">
        <v>2020.12</v>
      </c>
      <c r="H19" s="18" t="s">
        <v>57</v>
      </c>
      <c r="I19" s="20" t="s">
        <v>78</v>
      </c>
      <c r="J19" s="20">
        <v>29.384</v>
      </c>
      <c r="K19" s="20" t="s">
        <v>36</v>
      </c>
      <c r="L19" s="20">
        <v>364</v>
      </c>
      <c r="M19" s="20"/>
      <c r="N19" s="20" t="s">
        <v>79</v>
      </c>
    </row>
    <row r="20" ht="46.05" customHeight="1" spans="1:14">
      <c r="A20" s="18">
        <v>13</v>
      </c>
      <c r="B20" s="20" t="s">
        <v>80</v>
      </c>
      <c r="C20" s="20" t="s">
        <v>48</v>
      </c>
      <c r="D20" s="20" t="s">
        <v>23</v>
      </c>
      <c r="E20" s="20" t="s">
        <v>81</v>
      </c>
      <c r="F20" s="20">
        <v>2020.01</v>
      </c>
      <c r="G20" s="20">
        <v>2020.12</v>
      </c>
      <c r="H20" s="18" t="s">
        <v>57</v>
      </c>
      <c r="I20" s="20" t="s">
        <v>82</v>
      </c>
      <c r="J20" s="20">
        <v>9.68</v>
      </c>
      <c r="K20" s="20" t="s">
        <v>36</v>
      </c>
      <c r="L20" s="20">
        <v>215</v>
      </c>
      <c r="M20" s="20"/>
      <c r="N20" s="20" t="s">
        <v>83</v>
      </c>
    </row>
    <row r="21" ht="46.05" customHeight="1" spans="1:14">
      <c r="A21" s="18">
        <v>14</v>
      </c>
      <c r="B21" s="20" t="s">
        <v>84</v>
      </c>
      <c r="C21" s="20" t="s">
        <v>48</v>
      </c>
      <c r="D21" s="20" t="s">
        <v>23</v>
      </c>
      <c r="E21" s="20" t="s">
        <v>85</v>
      </c>
      <c r="F21" s="20">
        <v>2020.01</v>
      </c>
      <c r="G21" s="20">
        <v>2020.12</v>
      </c>
      <c r="H21" s="18" t="s">
        <v>57</v>
      </c>
      <c r="I21" s="20" t="s">
        <v>86</v>
      </c>
      <c r="J21" s="20">
        <v>7.81</v>
      </c>
      <c r="K21" s="20" t="s">
        <v>36</v>
      </c>
      <c r="L21" s="20">
        <v>85</v>
      </c>
      <c r="M21" s="20"/>
      <c r="N21" s="20" t="s">
        <v>87</v>
      </c>
    </row>
    <row r="22" ht="46.05" customHeight="1" spans="1:14">
      <c r="A22" s="18">
        <v>15</v>
      </c>
      <c r="B22" s="20" t="s">
        <v>88</v>
      </c>
      <c r="C22" s="20" t="s">
        <v>48</v>
      </c>
      <c r="D22" s="20" t="s">
        <v>23</v>
      </c>
      <c r="E22" s="20" t="s">
        <v>89</v>
      </c>
      <c r="F22" s="20">
        <v>2020.03</v>
      </c>
      <c r="G22" s="20">
        <v>2020.12</v>
      </c>
      <c r="H22" s="18" t="s">
        <v>57</v>
      </c>
      <c r="I22" s="20" t="s">
        <v>90</v>
      </c>
      <c r="J22" s="20">
        <v>10.2</v>
      </c>
      <c r="K22" s="20" t="s">
        <v>36</v>
      </c>
      <c r="L22" s="20">
        <v>82</v>
      </c>
      <c r="M22" s="20"/>
      <c r="N22" s="20" t="s">
        <v>91</v>
      </c>
    </row>
    <row r="23" ht="46.05" customHeight="1" spans="1:14">
      <c r="A23" s="18">
        <v>16</v>
      </c>
      <c r="B23" s="20" t="s">
        <v>92</v>
      </c>
      <c r="C23" s="20" t="s">
        <v>48</v>
      </c>
      <c r="D23" s="20" t="s">
        <v>23</v>
      </c>
      <c r="E23" s="20" t="s">
        <v>93</v>
      </c>
      <c r="F23" s="20">
        <v>2020.01</v>
      </c>
      <c r="G23" s="20">
        <v>2020.12</v>
      </c>
      <c r="H23" s="18" t="s">
        <v>57</v>
      </c>
      <c r="I23" s="20" t="s">
        <v>94</v>
      </c>
      <c r="J23" s="20">
        <v>2.325</v>
      </c>
      <c r="K23" s="20" t="s">
        <v>36</v>
      </c>
      <c r="L23" s="20">
        <v>48</v>
      </c>
      <c r="M23" s="20"/>
      <c r="N23" s="20" t="s">
        <v>95</v>
      </c>
    </row>
    <row r="24" ht="46.05" customHeight="1" spans="1:14">
      <c r="A24" s="18">
        <v>17</v>
      </c>
      <c r="B24" s="20" t="s">
        <v>96</v>
      </c>
      <c r="C24" s="20" t="s">
        <v>48</v>
      </c>
      <c r="D24" s="20" t="s">
        <v>97</v>
      </c>
      <c r="E24" s="20" t="s">
        <v>98</v>
      </c>
      <c r="F24" s="20">
        <v>2020.1</v>
      </c>
      <c r="G24" s="20">
        <v>2020.4</v>
      </c>
      <c r="H24" s="18" t="s">
        <v>57</v>
      </c>
      <c r="I24" s="20" t="s">
        <v>99</v>
      </c>
      <c r="J24" s="20">
        <v>0.2</v>
      </c>
      <c r="K24" s="20" t="s">
        <v>36</v>
      </c>
      <c r="L24" s="20">
        <v>8</v>
      </c>
      <c r="M24" s="20"/>
      <c r="N24" s="20" t="s">
        <v>100</v>
      </c>
    </row>
    <row r="25" ht="46.05" customHeight="1" spans="1:14">
      <c r="A25" s="18">
        <v>18</v>
      </c>
      <c r="B25" s="20" t="s">
        <v>101</v>
      </c>
      <c r="C25" s="20" t="s">
        <v>48</v>
      </c>
      <c r="D25" s="20" t="s">
        <v>97</v>
      </c>
      <c r="E25" s="20" t="s">
        <v>102</v>
      </c>
      <c r="F25" s="20">
        <v>2020.3</v>
      </c>
      <c r="G25" s="20" t="s">
        <v>103</v>
      </c>
      <c r="H25" s="18" t="s">
        <v>57</v>
      </c>
      <c r="I25" s="20" t="s">
        <v>104</v>
      </c>
      <c r="J25" s="20">
        <v>1.44</v>
      </c>
      <c r="K25" s="20" t="s">
        <v>36</v>
      </c>
      <c r="L25" s="20">
        <v>4</v>
      </c>
      <c r="M25" s="20"/>
      <c r="N25" s="20" t="s">
        <v>105</v>
      </c>
    </row>
    <row r="26" ht="46.05" customHeight="1" spans="1:14">
      <c r="A26" s="18">
        <v>19</v>
      </c>
      <c r="B26" s="20" t="s">
        <v>106</v>
      </c>
      <c r="C26" s="20" t="s">
        <v>48</v>
      </c>
      <c r="D26" s="20" t="s">
        <v>97</v>
      </c>
      <c r="E26" s="20" t="s">
        <v>107</v>
      </c>
      <c r="F26" s="20" t="s">
        <v>108</v>
      </c>
      <c r="G26" s="20" t="s">
        <v>109</v>
      </c>
      <c r="H26" s="18" t="s">
        <v>57</v>
      </c>
      <c r="I26" s="20" t="s">
        <v>110</v>
      </c>
      <c r="J26" s="20">
        <v>1.74</v>
      </c>
      <c r="K26" s="20" t="s">
        <v>36</v>
      </c>
      <c r="L26" s="20">
        <v>11</v>
      </c>
      <c r="M26" s="20"/>
      <c r="N26" s="20" t="s">
        <v>111</v>
      </c>
    </row>
    <row r="27" ht="46.05" customHeight="1" spans="1:14">
      <c r="A27" s="18">
        <v>20</v>
      </c>
      <c r="B27" s="20" t="s">
        <v>112</v>
      </c>
      <c r="C27" s="20" t="s">
        <v>48</v>
      </c>
      <c r="D27" s="20" t="s">
        <v>23</v>
      </c>
      <c r="E27" s="20" t="s">
        <v>113</v>
      </c>
      <c r="F27" s="20">
        <v>2020.3</v>
      </c>
      <c r="G27" s="20">
        <v>2020.4</v>
      </c>
      <c r="H27" s="18" t="s">
        <v>57</v>
      </c>
      <c r="I27" s="20" t="s">
        <v>114</v>
      </c>
      <c r="J27" s="20">
        <v>13.68</v>
      </c>
      <c r="K27" s="20" t="s">
        <v>36</v>
      </c>
      <c r="L27" s="20">
        <v>38</v>
      </c>
      <c r="M27" s="20"/>
      <c r="N27" s="20" t="s">
        <v>115</v>
      </c>
    </row>
    <row r="28" ht="46.05" customHeight="1" spans="1:14">
      <c r="A28" s="18">
        <v>21</v>
      </c>
      <c r="B28" s="20" t="s">
        <v>116</v>
      </c>
      <c r="C28" s="20" t="s">
        <v>48</v>
      </c>
      <c r="D28" s="20" t="s">
        <v>23</v>
      </c>
      <c r="E28" s="20" t="s">
        <v>117</v>
      </c>
      <c r="F28" s="20" t="s">
        <v>118</v>
      </c>
      <c r="G28" s="20" t="s">
        <v>119</v>
      </c>
      <c r="H28" s="18" t="s">
        <v>57</v>
      </c>
      <c r="I28" s="20" t="s">
        <v>120</v>
      </c>
      <c r="J28" s="20">
        <v>0.64</v>
      </c>
      <c r="K28" s="20" t="s">
        <v>36</v>
      </c>
      <c r="L28" s="20">
        <v>4</v>
      </c>
      <c r="M28" s="20"/>
      <c r="N28" s="20" t="s">
        <v>121</v>
      </c>
    </row>
    <row r="29" ht="46.05" customHeight="1" spans="1:14">
      <c r="A29" s="18">
        <v>22</v>
      </c>
      <c r="B29" s="20" t="s">
        <v>122</v>
      </c>
      <c r="C29" s="20" t="s">
        <v>48</v>
      </c>
      <c r="D29" s="20" t="s">
        <v>97</v>
      </c>
      <c r="E29" s="20" t="s">
        <v>123</v>
      </c>
      <c r="F29" s="20" t="s">
        <v>124</v>
      </c>
      <c r="G29" s="20">
        <v>2020.7</v>
      </c>
      <c r="H29" s="18" t="s">
        <v>57</v>
      </c>
      <c r="I29" s="20" t="s">
        <v>125</v>
      </c>
      <c r="J29" s="20">
        <v>1.5</v>
      </c>
      <c r="K29" s="20" t="s">
        <v>36</v>
      </c>
      <c r="L29" s="20">
        <v>3</v>
      </c>
      <c r="M29" s="20"/>
      <c r="N29" s="20" t="s">
        <v>126</v>
      </c>
    </row>
    <row r="30" ht="46.05" customHeight="1" spans="1:14">
      <c r="A30" s="18">
        <v>23</v>
      </c>
      <c r="B30" s="20" t="s">
        <v>127</v>
      </c>
      <c r="C30" s="20" t="s">
        <v>48</v>
      </c>
      <c r="D30" s="20" t="s">
        <v>23</v>
      </c>
      <c r="E30" s="20" t="s">
        <v>128</v>
      </c>
      <c r="F30" s="20" t="s">
        <v>129</v>
      </c>
      <c r="G30" s="20" t="s">
        <v>130</v>
      </c>
      <c r="H30" s="18" t="s">
        <v>57</v>
      </c>
      <c r="I30" s="20" t="s">
        <v>131</v>
      </c>
      <c r="J30" s="20">
        <v>4.5</v>
      </c>
      <c r="K30" s="20" t="s">
        <v>36</v>
      </c>
      <c r="L30" s="20">
        <v>107</v>
      </c>
      <c r="M30" s="20"/>
      <c r="N30" s="20" t="s">
        <v>132</v>
      </c>
    </row>
    <row r="31" ht="46.05" customHeight="1" spans="1:14">
      <c r="A31" s="18">
        <v>24</v>
      </c>
      <c r="B31" s="20" t="s">
        <v>133</v>
      </c>
      <c r="C31" s="20" t="s">
        <v>48</v>
      </c>
      <c r="D31" s="20" t="s">
        <v>97</v>
      </c>
      <c r="E31" s="20" t="s">
        <v>134</v>
      </c>
      <c r="F31" s="20" t="s">
        <v>129</v>
      </c>
      <c r="G31" s="20" t="s">
        <v>130</v>
      </c>
      <c r="H31" s="18" t="s">
        <v>57</v>
      </c>
      <c r="I31" s="20" t="s">
        <v>135</v>
      </c>
      <c r="J31" s="20">
        <v>2.4</v>
      </c>
      <c r="K31" s="20" t="s">
        <v>36</v>
      </c>
      <c r="L31" s="20">
        <v>6</v>
      </c>
      <c r="M31" s="20"/>
      <c r="N31" s="20" t="s">
        <v>136</v>
      </c>
    </row>
    <row r="32" ht="46.05" customHeight="1" spans="1:14">
      <c r="A32" s="18">
        <v>25</v>
      </c>
      <c r="B32" s="20" t="s">
        <v>137</v>
      </c>
      <c r="C32" s="20" t="s">
        <v>48</v>
      </c>
      <c r="D32" s="20" t="s">
        <v>23</v>
      </c>
      <c r="E32" s="20" t="s">
        <v>138</v>
      </c>
      <c r="F32" s="20">
        <v>2020.1</v>
      </c>
      <c r="G32" s="20">
        <v>2020.12</v>
      </c>
      <c r="H32" s="18" t="s">
        <v>57</v>
      </c>
      <c r="I32" s="20" t="s">
        <v>139</v>
      </c>
      <c r="J32" s="20">
        <v>0.8</v>
      </c>
      <c r="K32" s="20" t="s">
        <v>36</v>
      </c>
      <c r="L32" s="20">
        <v>5</v>
      </c>
      <c r="M32" s="20"/>
      <c r="N32" s="20" t="s">
        <v>140</v>
      </c>
    </row>
    <row r="33" ht="46.05" customHeight="1" spans="1:14">
      <c r="A33" s="18">
        <v>26</v>
      </c>
      <c r="B33" s="20" t="s">
        <v>141</v>
      </c>
      <c r="C33" s="20" t="s">
        <v>48</v>
      </c>
      <c r="D33" s="20" t="s">
        <v>23</v>
      </c>
      <c r="E33" s="20" t="s">
        <v>142</v>
      </c>
      <c r="F33" s="20">
        <v>2020.1</v>
      </c>
      <c r="G33" s="20">
        <v>2020.12</v>
      </c>
      <c r="H33" s="18" t="s">
        <v>57</v>
      </c>
      <c r="I33" s="20" t="s">
        <v>143</v>
      </c>
      <c r="J33" s="20">
        <v>3.696</v>
      </c>
      <c r="K33" s="20" t="s">
        <v>36</v>
      </c>
      <c r="L33" s="20">
        <v>69</v>
      </c>
      <c r="M33" s="20"/>
      <c r="N33" s="20" t="s">
        <v>144</v>
      </c>
    </row>
    <row r="34" ht="46.05" customHeight="1" spans="1:14">
      <c r="A34" s="18">
        <v>27</v>
      </c>
      <c r="B34" s="20" t="s">
        <v>145</v>
      </c>
      <c r="C34" s="20" t="s">
        <v>48</v>
      </c>
      <c r="D34" s="20" t="s">
        <v>23</v>
      </c>
      <c r="E34" s="20" t="s">
        <v>146</v>
      </c>
      <c r="F34" s="20">
        <v>2020.1</v>
      </c>
      <c r="G34" s="20">
        <v>2020.12</v>
      </c>
      <c r="H34" s="18" t="s">
        <v>57</v>
      </c>
      <c r="I34" s="20" t="s">
        <v>147</v>
      </c>
      <c r="J34" s="20">
        <v>3.76</v>
      </c>
      <c r="K34" s="20" t="s">
        <v>36</v>
      </c>
      <c r="L34" s="20">
        <v>130</v>
      </c>
      <c r="M34" s="20"/>
      <c r="N34" s="20" t="s">
        <v>148</v>
      </c>
    </row>
    <row r="35" ht="46.05" customHeight="1" spans="1:14">
      <c r="A35" s="18">
        <v>28</v>
      </c>
      <c r="B35" s="20" t="s">
        <v>149</v>
      </c>
      <c r="C35" s="20" t="s">
        <v>48</v>
      </c>
      <c r="D35" s="20" t="s">
        <v>23</v>
      </c>
      <c r="E35" s="20" t="s">
        <v>150</v>
      </c>
      <c r="F35" s="20">
        <v>2020.1</v>
      </c>
      <c r="G35" s="20">
        <v>2020.12</v>
      </c>
      <c r="H35" s="18" t="s">
        <v>57</v>
      </c>
      <c r="I35" s="20" t="s">
        <v>151</v>
      </c>
      <c r="J35" s="20">
        <v>0.44</v>
      </c>
      <c r="K35" s="20" t="s">
        <v>36</v>
      </c>
      <c r="L35" s="20">
        <v>6</v>
      </c>
      <c r="M35" s="20"/>
      <c r="N35" s="20" t="s">
        <v>152</v>
      </c>
    </row>
    <row r="36" ht="46.05" customHeight="1" spans="1:14">
      <c r="A36" s="18">
        <v>29</v>
      </c>
      <c r="B36" s="20" t="s">
        <v>153</v>
      </c>
      <c r="C36" s="20" t="s">
        <v>48</v>
      </c>
      <c r="D36" s="20" t="s">
        <v>23</v>
      </c>
      <c r="E36" s="20" t="s">
        <v>154</v>
      </c>
      <c r="F36" s="20">
        <v>2020.1</v>
      </c>
      <c r="G36" s="20">
        <v>2020.12</v>
      </c>
      <c r="H36" s="18" t="s">
        <v>57</v>
      </c>
      <c r="I36" s="20" t="s">
        <v>155</v>
      </c>
      <c r="J36" s="20">
        <v>5.28</v>
      </c>
      <c r="K36" s="20" t="s">
        <v>36</v>
      </c>
      <c r="L36" s="20">
        <v>49</v>
      </c>
      <c r="M36" s="20"/>
      <c r="N36" s="20" t="s">
        <v>156</v>
      </c>
    </row>
    <row r="37" ht="46.05" customHeight="1" spans="1:14">
      <c r="A37" s="18">
        <v>30</v>
      </c>
      <c r="B37" s="20" t="s">
        <v>157</v>
      </c>
      <c r="C37" s="20" t="s">
        <v>48</v>
      </c>
      <c r="D37" s="20" t="s">
        <v>23</v>
      </c>
      <c r="E37" s="20" t="s">
        <v>158</v>
      </c>
      <c r="F37" s="20">
        <v>2020.1</v>
      </c>
      <c r="G37" s="20">
        <v>2020.12</v>
      </c>
      <c r="H37" s="18" t="s">
        <v>57</v>
      </c>
      <c r="I37" s="20" t="s">
        <v>159</v>
      </c>
      <c r="J37" s="20">
        <v>0.56</v>
      </c>
      <c r="K37" s="20" t="s">
        <v>36</v>
      </c>
      <c r="L37" s="20">
        <v>14</v>
      </c>
      <c r="M37" s="20"/>
      <c r="N37" s="20" t="s">
        <v>160</v>
      </c>
    </row>
    <row r="38" ht="46.05" customHeight="1" spans="1:14">
      <c r="A38" s="18">
        <v>31</v>
      </c>
      <c r="B38" s="20" t="s">
        <v>161</v>
      </c>
      <c r="C38" s="20" t="s">
        <v>48</v>
      </c>
      <c r="D38" s="20" t="s">
        <v>23</v>
      </c>
      <c r="E38" s="20" t="s">
        <v>162</v>
      </c>
      <c r="F38" s="20">
        <v>2020.1</v>
      </c>
      <c r="G38" s="20">
        <v>2020.12</v>
      </c>
      <c r="H38" s="18" t="s">
        <v>57</v>
      </c>
      <c r="I38" s="20" t="s">
        <v>163</v>
      </c>
      <c r="J38" s="20">
        <v>0.24</v>
      </c>
      <c r="K38" s="20" t="s">
        <v>36</v>
      </c>
      <c r="L38" s="20">
        <v>5</v>
      </c>
      <c r="M38" s="20"/>
      <c r="N38" s="20" t="s">
        <v>164</v>
      </c>
    </row>
    <row r="39" ht="46.05" customHeight="1" spans="1:14">
      <c r="A39" s="18">
        <v>32</v>
      </c>
      <c r="B39" s="20" t="s">
        <v>165</v>
      </c>
      <c r="C39" s="20" t="s">
        <v>48</v>
      </c>
      <c r="D39" s="20" t="s">
        <v>23</v>
      </c>
      <c r="E39" s="20" t="s">
        <v>166</v>
      </c>
      <c r="F39" s="20">
        <v>2020.1</v>
      </c>
      <c r="G39" s="20">
        <v>2020.5</v>
      </c>
      <c r="H39" s="18" t="s">
        <v>57</v>
      </c>
      <c r="I39" s="20" t="s">
        <v>167</v>
      </c>
      <c r="J39" s="20">
        <v>2.4</v>
      </c>
      <c r="K39" s="20" t="s">
        <v>36</v>
      </c>
      <c r="L39" s="20">
        <v>45</v>
      </c>
      <c r="M39" s="20">
        <v>120</v>
      </c>
      <c r="N39" s="20" t="s">
        <v>168</v>
      </c>
    </row>
    <row r="40" ht="46.05" customHeight="1" spans="1:14">
      <c r="A40" s="18">
        <v>33</v>
      </c>
      <c r="B40" s="20" t="s">
        <v>169</v>
      </c>
      <c r="C40" s="20" t="s">
        <v>48</v>
      </c>
      <c r="D40" s="20" t="s">
        <v>23</v>
      </c>
      <c r="E40" s="20" t="s">
        <v>170</v>
      </c>
      <c r="F40" s="20">
        <v>2020.1</v>
      </c>
      <c r="G40" s="20">
        <v>2020.5</v>
      </c>
      <c r="H40" s="18" t="s">
        <v>57</v>
      </c>
      <c r="I40" s="20" t="s">
        <v>171</v>
      </c>
      <c r="J40" s="20">
        <v>2.25</v>
      </c>
      <c r="K40" s="20" t="s">
        <v>36</v>
      </c>
      <c r="L40" s="20">
        <v>45</v>
      </c>
      <c r="M40" s="20">
        <v>50</v>
      </c>
      <c r="N40" s="20" t="s">
        <v>172</v>
      </c>
    </row>
    <row r="41" ht="46.05" customHeight="1" spans="1:14">
      <c r="A41" s="18">
        <v>34</v>
      </c>
      <c r="B41" s="20" t="s">
        <v>173</v>
      </c>
      <c r="C41" s="20" t="s">
        <v>48</v>
      </c>
      <c r="D41" s="20" t="s">
        <v>97</v>
      </c>
      <c r="E41" s="20" t="s">
        <v>174</v>
      </c>
      <c r="F41" s="20">
        <v>2020.1</v>
      </c>
      <c r="G41" s="20">
        <v>2020.12</v>
      </c>
      <c r="H41" s="18" t="s">
        <v>57</v>
      </c>
      <c r="I41" s="20" t="s">
        <v>175</v>
      </c>
      <c r="J41" s="20">
        <v>4.48</v>
      </c>
      <c r="K41" s="20" t="s">
        <v>36</v>
      </c>
      <c r="L41" s="20">
        <v>8</v>
      </c>
      <c r="M41" s="20">
        <v>15</v>
      </c>
      <c r="N41" s="20" t="s">
        <v>176</v>
      </c>
    </row>
    <row r="42" ht="46.05" customHeight="1" spans="1:14">
      <c r="A42" s="18">
        <v>35</v>
      </c>
      <c r="B42" s="20" t="s">
        <v>177</v>
      </c>
      <c r="C42" s="20" t="s">
        <v>48</v>
      </c>
      <c r="D42" s="20" t="s">
        <v>23</v>
      </c>
      <c r="E42" s="20" t="s">
        <v>178</v>
      </c>
      <c r="F42" s="20">
        <v>2020.3</v>
      </c>
      <c r="G42" s="20">
        <v>2020.5</v>
      </c>
      <c r="H42" s="18" t="s">
        <v>57</v>
      </c>
      <c r="I42" s="20" t="s">
        <v>179</v>
      </c>
      <c r="J42" s="20">
        <v>1.6</v>
      </c>
      <c r="K42" s="20" t="s">
        <v>36</v>
      </c>
      <c r="L42" s="20">
        <v>8</v>
      </c>
      <c r="M42" s="20">
        <v>12</v>
      </c>
      <c r="N42" s="20" t="s">
        <v>180</v>
      </c>
    </row>
    <row r="43" ht="46.05" customHeight="1" spans="1:14">
      <c r="A43" s="18">
        <v>36</v>
      </c>
      <c r="B43" s="20" t="s">
        <v>181</v>
      </c>
      <c r="C43" s="20" t="s">
        <v>48</v>
      </c>
      <c r="D43" s="20" t="s">
        <v>23</v>
      </c>
      <c r="E43" s="20" t="s">
        <v>182</v>
      </c>
      <c r="F43" s="20">
        <v>2020.1</v>
      </c>
      <c r="G43" s="20">
        <v>2020.12</v>
      </c>
      <c r="H43" s="18" t="s">
        <v>57</v>
      </c>
      <c r="I43" s="20" t="s">
        <v>183</v>
      </c>
      <c r="J43" s="20">
        <v>2.96</v>
      </c>
      <c r="K43" s="20" t="s">
        <v>36</v>
      </c>
      <c r="L43" s="20">
        <v>35</v>
      </c>
      <c r="M43" s="20"/>
      <c r="N43" s="20" t="s">
        <v>184</v>
      </c>
    </row>
    <row r="44" ht="60" customHeight="1" spans="1:14">
      <c r="A44" s="18">
        <v>37</v>
      </c>
      <c r="B44" s="20" t="s">
        <v>185</v>
      </c>
      <c r="C44" s="20" t="s">
        <v>48</v>
      </c>
      <c r="D44" s="20" t="s">
        <v>23</v>
      </c>
      <c r="E44" s="20" t="s">
        <v>186</v>
      </c>
      <c r="F44" s="20">
        <v>2020.1</v>
      </c>
      <c r="G44" s="20">
        <v>2020.12</v>
      </c>
      <c r="H44" s="18" t="s">
        <v>57</v>
      </c>
      <c r="I44" s="20" t="s">
        <v>187</v>
      </c>
      <c r="J44" s="20">
        <v>1.14</v>
      </c>
      <c r="K44" s="20" t="s">
        <v>36</v>
      </c>
      <c r="L44" s="20">
        <v>15</v>
      </c>
      <c r="M44" s="20"/>
      <c r="N44" s="20" t="s">
        <v>188</v>
      </c>
    </row>
    <row r="45" ht="46.05" customHeight="1" spans="1:14">
      <c r="A45" s="18">
        <v>38</v>
      </c>
      <c r="B45" s="20" t="s">
        <v>189</v>
      </c>
      <c r="C45" s="20" t="s">
        <v>48</v>
      </c>
      <c r="D45" s="20" t="s">
        <v>23</v>
      </c>
      <c r="E45" s="20" t="s">
        <v>190</v>
      </c>
      <c r="F45" s="20">
        <v>2020.1</v>
      </c>
      <c r="G45" s="20">
        <v>2020.12</v>
      </c>
      <c r="H45" s="18" t="s">
        <v>57</v>
      </c>
      <c r="I45" s="20" t="s">
        <v>191</v>
      </c>
      <c r="J45" s="20">
        <v>1.12</v>
      </c>
      <c r="K45" s="20" t="s">
        <v>36</v>
      </c>
      <c r="L45" s="20">
        <v>6</v>
      </c>
      <c r="M45" s="20"/>
      <c r="N45" s="20" t="s">
        <v>192</v>
      </c>
    </row>
    <row r="46" ht="46.05" customHeight="1" spans="1:14">
      <c r="A46" s="18">
        <v>39</v>
      </c>
      <c r="B46" s="20" t="s">
        <v>193</v>
      </c>
      <c r="C46" s="20" t="s">
        <v>194</v>
      </c>
      <c r="D46" s="20" t="s">
        <v>23</v>
      </c>
      <c r="E46" s="20" t="s">
        <v>195</v>
      </c>
      <c r="F46" s="20">
        <v>2020.1</v>
      </c>
      <c r="G46" s="20">
        <v>2020.12</v>
      </c>
      <c r="H46" s="18" t="s">
        <v>57</v>
      </c>
      <c r="I46" s="20" t="s">
        <v>196</v>
      </c>
      <c r="J46" s="20">
        <v>2.5</v>
      </c>
      <c r="K46" s="20" t="s">
        <v>36</v>
      </c>
      <c r="L46" s="20">
        <v>10</v>
      </c>
      <c r="M46" s="20"/>
      <c r="N46" s="20" t="s">
        <v>197</v>
      </c>
    </row>
    <row r="47" ht="46.05" customHeight="1" spans="1:14">
      <c r="A47" s="18">
        <v>40</v>
      </c>
      <c r="B47" s="20" t="s">
        <v>198</v>
      </c>
      <c r="C47" s="20" t="s">
        <v>48</v>
      </c>
      <c r="D47" s="20" t="s">
        <v>23</v>
      </c>
      <c r="E47" s="20" t="s">
        <v>199</v>
      </c>
      <c r="F47" s="20">
        <v>2020.1</v>
      </c>
      <c r="G47" s="20">
        <v>2020.12</v>
      </c>
      <c r="H47" s="18" t="s">
        <v>57</v>
      </c>
      <c r="I47" s="20" t="s">
        <v>200</v>
      </c>
      <c r="J47" s="20">
        <v>1.6</v>
      </c>
      <c r="K47" s="20" t="s">
        <v>36</v>
      </c>
      <c r="L47" s="20">
        <v>6</v>
      </c>
      <c r="M47" s="20"/>
      <c r="N47" s="20" t="s">
        <v>201</v>
      </c>
    </row>
    <row r="48" ht="46.05" customHeight="1" spans="1:14">
      <c r="A48" s="18">
        <v>41</v>
      </c>
      <c r="B48" s="20" t="s">
        <v>202</v>
      </c>
      <c r="C48" s="20" t="s">
        <v>48</v>
      </c>
      <c r="D48" s="20" t="s">
        <v>23</v>
      </c>
      <c r="E48" s="20" t="s">
        <v>203</v>
      </c>
      <c r="F48" s="20">
        <v>2019.9</v>
      </c>
      <c r="G48" s="20">
        <v>2020.1</v>
      </c>
      <c r="H48" s="18" t="s">
        <v>57</v>
      </c>
      <c r="I48" s="20" t="s">
        <v>204</v>
      </c>
      <c r="J48" s="20">
        <v>1.2</v>
      </c>
      <c r="K48" s="20" t="s">
        <v>36</v>
      </c>
      <c r="L48" s="20">
        <v>32</v>
      </c>
      <c r="M48" s="20"/>
      <c r="N48" s="20" t="s">
        <v>205</v>
      </c>
    </row>
    <row r="49" ht="46.05" customHeight="1" spans="1:14">
      <c r="A49" s="18">
        <v>42</v>
      </c>
      <c r="B49" s="20" t="s">
        <v>206</v>
      </c>
      <c r="C49" s="20" t="s">
        <v>48</v>
      </c>
      <c r="D49" s="20" t="s">
        <v>23</v>
      </c>
      <c r="E49" s="20" t="s">
        <v>207</v>
      </c>
      <c r="F49" s="20">
        <v>2020.5</v>
      </c>
      <c r="G49" s="20">
        <v>2020.6</v>
      </c>
      <c r="H49" s="18" t="s">
        <v>57</v>
      </c>
      <c r="I49" s="20" t="s">
        <v>208</v>
      </c>
      <c r="J49" s="20">
        <v>1.5</v>
      </c>
      <c r="K49" s="20" t="s">
        <v>36</v>
      </c>
      <c r="L49" s="20">
        <v>6</v>
      </c>
      <c r="M49" s="20"/>
      <c r="N49" s="20" t="s">
        <v>152</v>
      </c>
    </row>
    <row r="50" ht="46.05" customHeight="1" spans="1:14">
      <c r="A50" s="18">
        <v>43</v>
      </c>
      <c r="B50" s="20" t="s">
        <v>209</v>
      </c>
      <c r="C50" s="20" t="s">
        <v>48</v>
      </c>
      <c r="D50" s="20" t="s">
        <v>23</v>
      </c>
      <c r="E50" s="20" t="s">
        <v>210</v>
      </c>
      <c r="F50" s="20" t="s">
        <v>211</v>
      </c>
      <c r="G50" s="20">
        <v>2020.6</v>
      </c>
      <c r="H50" s="18" t="s">
        <v>57</v>
      </c>
      <c r="I50" s="20" t="s">
        <v>212</v>
      </c>
      <c r="J50" s="20">
        <v>0.72</v>
      </c>
      <c r="K50" s="20" t="s">
        <v>36</v>
      </c>
      <c r="L50" s="20">
        <v>5</v>
      </c>
      <c r="M50" s="20"/>
      <c r="N50" s="20" t="s">
        <v>213</v>
      </c>
    </row>
    <row r="51" ht="46.05" customHeight="1" spans="1:14">
      <c r="A51" s="18">
        <v>44</v>
      </c>
      <c r="B51" s="20" t="s">
        <v>209</v>
      </c>
      <c r="C51" s="20" t="s">
        <v>48</v>
      </c>
      <c r="D51" s="20" t="s">
        <v>23</v>
      </c>
      <c r="E51" s="20" t="s">
        <v>210</v>
      </c>
      <c r="F51" s="20">
        <v>2020.3</v>
      </c>
      <c r="G51" s="20">
        <v>2020.3</v>
      </c>
      <c r="H51" s="18" t="s">
        <v>57</v>
      </c>
      <c r="I51" s="20" t="s">
        <v>214</v>
      </c>
      <c r="J51" s="20">
        <v>0.56</v>
      </c>
      <c r="K51" s="20" t="s">
        <v>36</v>
      </c>
      <c r="L51" s="20">
        <v>9</v>
      </c>
      <c r="M51" s="20"/>
      <c r="N51" s="20" t="s">
        <v>215</v>
      </c>
    </row>
    <row r="52" ht="46.05" customHeight="1" spans="1:14">
      <c r="A52" s="18">
        <v>45</v>
      </c>
      <c r="B52" s="20" t="s">
        <v>216</v>
      </c>
      <c r="C52" s="20" t="s">
        <v>48</v>
      </c>
      <c r="D52" s="20" t="s">
        <v>23</v>
      </c>
      <c r="E52" s="20" t="s">
        <v>217</v>
      </c>
      <c r="F52" s="20">
        <v>2020.3</v>
      </c>
      <c r="G52" s="20">
        <v>2020.4</v>
      </c>
      <c r="H52" s="18" t="s">
        <v>57</v>
      </c>
      <c r="I52" s="20" t="s">
        <v>218</v>
      </c>
      <c r="J52" s="20">
        <v>6.4</v>
      </c>
      <c r="K52" s="20" t="s">
        <v>36</v>
      </c>
      <c r="L52" s="20">
        <v>13</v>
      </c>
      <c r="M52" s="20"/>
      <c r="N52" s="20" t="s">
        <v>219</v>
      </c>
    </row>
    <row r="53" ht="46.05" customHeight="1" spans="1:14">
      <c r="A53" s="18">
        <v>46</v>
      </c>
      <c r="B53" s="20" t="s">
        <v>220</v>
      </c>
      <c r="C53" s="20" t="s">
        <v>48</v>
      </c>
      <c r="D53" s="20" t="s">
        <v>23</v>
      </c>
      <c r="E53" s="20" t="s">
        <v>221</v>
      </c>
      <c r="F53" s="20" t="s">
        <v>211</v>
      </c>
      <c r="G53" s="20">
        <v>2020.6</v>
      </c>
      <c r="H53" s="18" t="s">
        <v>57</v>
      </c>
      <c r="I53" s="20" t="s">
        <v>222</v>
      </c>
      <c r="J53" s="20">
        <v>2.24</v>
      </c>
      <c r="K53" s="20" t="s">
        <v>36</v>
      </c>
      <c r="L53" s="20">
        <v>8</v>
      </c>
      <c r="M53" s="20"/>
      <c r="N53" s="20" t="s">
        <v>223</v>
      </c>
    </row>
    <row r="54" ht="46.05" customHeight="1" spans="1:14">
      <c r="A54" s="18">
        <v>47</v>
      </c>
      <c r="B54" s="20" t="s">
        <v>224</v>
      </c>
      <c r="C54" s="20" t="s">
        <v>48</v>
      </c>
      <c r="D54" s="20" t="s">
        <v>97</v>
      </c>
      <c r="E54" s="20" t="s">
        <v>225</v>
      </c>
      <c r="F54" s="20">
        <v>2020.04</v>
      </c>
      <c r="G54" s="20">
        <v>2020.12</v>
      </c>
      <c r="H54" s="18" t="s">
        <v>57</v>
      </c>
      <c r="I54" s="20" t="s">
        <v>226</v>
      </c>
      <c r="J54" s="20">
        <v>3</v>
      </c>
      <c r="K54" s="20" t="s">
        <v>36</v>
      </c>
      <c r="L54" s="20">
        <v>22</v>
      </c>
      <c r="M54" s="20"/>
      <c r="N54" s="20" t="s">
        <v>227</v>
      </c>
    </row>
    <row r="55" ht="46.05" customHeight="1" spans="1:14">
      <c r="A55" s="18">
        <v>48</v>
      </c>
      <c r="B55" s="20" t="s">
        <v>228</v>
      </c>
      <c r="C55" s="20" t="s">
        <v>48</v>
      </c>
      <c r="D55" s="20" t="s">
        <v>97</v>
      </c>
      <c r="E55" s="20" t="s">
        <v>229</v>
      </c>
      <c r="F55" s="20">
        <v>2020.04</v>
      </c>
      <c r="G55" s="20">
        <v>2020.12</v>
      </c>
      <c r="H55" s="18" t="s">
        <v>57</v>
      </c>
      <c r="I55" s="20" t="s">
        <v>230</v>
      </c>
      <c r="J55" s="20">
        <v>9.375</v>
      </c>
      <c r="K55" s="20" t="s">
        <v>36</v>
      </c>
      <c r="L55" s="20">
        <v>19</v>
      </c>
      <c r="M55" s="20"/>
      <c r="N55" s="20" t="s">
        <v>231</v>
      </c>
    </row>
    <row r="56" ht="46.05" customHeight="1" spans="1:14">
      <c r="A56" s="18">
        <v>49</v>
      </c>
      <c r="B56" s="20" t="s">
        <v>232</v>
      </c>
      <c r="C56" s="20" t="s">
        <v>48</v>
      </c>
      <c r="D56" s="20" t="s">
        <v>97</v>
      </c>
      <c r="E56" s="20" t="s">
        <v>233</v>
      </c>
      <c r="F56" s="20">
        <v>2020.04</v>
      </c>
      <c r="G56" s="20">
        <v>2020.12</v>
      </c>
      <c r="H56" s="18" t="s">
        <v>57</v>
      </c>
      <c r="I56" s="20" t="s">
        <v>234</v>
      </c>
      <c r="J56" s="20">
        <v>3.99</v>
      </c>
      <c r="K56" s="20" t="s">
        <v>36</v>
      </c>
      <c r="L56" s="20">
        <v>31</v>
      </c>
      <c r="M56" s="20"/>
      <c r="N56" s="20" t="s">
        <v>235</v>
      </c>
    </row>
    <row r="57" ht="46.05" customHeight="1" spans="1:14">
      <c r="A57" s="18">
        <v>50</v>
      </c>
      <c r="B57" s="20" t="s">
        <v>236</v>
      </c>
      <c r="C57" s="20" t="s">
        <v>48</v>
      </c>
      <c r="D57" s="20" t="s">
        <v>97</v>
      </c>
      <c r="E57" s="20" t="s">
        <v>237</v>
      </c>
      <c r="F57" s="20">
        <v>2020.04</v>
      </c>
      <c r="G57" s="20">
        <v>2020.12</v>
      </c>
      <c r="H57" s="18" t="s">
        <v>57</v>
      </c>
      <c r="I57" s="20" t="s">
        <v>238</v>
      </c>
      <c r="J57" s="20">
        <v>1.6</v>
      </c>
      <c r="K57" s="20" t="s">
        <v>36</v>
      </c>
      <c r="L57" s="20">
        <v>6</v>
      </c>
      <c r="M57" s="20"/>
      <c r="N57" s="20" t="s">
        <v>239</v>
      </c>
    </row>
    <row r="58" ht="46.05" customHeight="1" spans="1:14">
      <c r="A58" s="18">
        <v>51</v>
      </c>
      <c r="B58" s="20" t="s">
        <v>240</v>
      </c>
      <c r="C58" s="20" t="s">
        <v>48</v>
      </c>
      <c r="D58" s="20" t="s">
        <v>97</v>
      </c>
      <c r="E58" s="20" t="s">
        <v>241</v>
      </c>
      <c r="F58" s="20">
        <v>2020.04</v>
      </c>
      <c r="G58" s="20">
        <v>2020.12</v>
      </c>
      <c r="H58" s="18" t="s">
        <v>57</v>
      </c>
      <c r="I58" s="20" t="s">
        <v>242</v>
      </c>
      <c r="J58" s="20">
        <v>5.48</v>
      </c>
      <c r="K58" s="20" t="s">
        <v>36</v>
      </c>
      <c r="L58" s="20">
        <v>22</v>
      </c>
      <c r="M58" s="20"/>
      <c r="N58" s="20" t="s">
        <v>243</v>
      </c>
    </row>
    <row r="59" ht="46.05" customHeight="1" spans="1:14">
      <c r="A59" s="18">
        <v>52</v>
      </c>
      <c r="B59" s="20" t="s">
        <v>244</v>
      </c>
      <c r="C59" s="20" t="s">
        <v>48</v>
      </c>
      <c r="D59" s="20" t="s">
        <v>23</v>
      </c>
      <c r="E59" s="20" t="s">
        <v>199</v>
      </c>
      <c r="F59" s="20">
        <v>2020.04</v>
      </c>
      <c r="G59" s="20">
        <v>2020.12</v>
      </c>
      <c r="H59" s="18" t="s">
        <v>57</v>
      </c>
      <c r="I59" s="20" t="s">
        <v>245</v>
      </c>
      <c r="J59" s="20">
        <v>1.38</v>
      </c>
      <c r="K59" s="20" t="s">
        <v>36</v>
      </c>
      <c r="L59" s="20">
        <v>14</v>
      </c>
      <c r="M59" s="20"/>
      <c r="N59" s="20" t="s">
        <v>246</v>
      </c>
    </row>
    <row r="60" ht="46.05" customHeight="1" spans="1:14">
      <c r="A60" s="18">
        <v>53</v>
      </c>
      <c r="B60" s="20" t="s">
        <v>247</v>
      </c>
      <c r="C60" s="20" t="s">
        <v>48</v>
      </c>
      <c r="D60" s="20" t="s">
        <v>23</v>
      </c>
      <c r="E60" s="20" t="s">
        <v>248</v>
      </c>
      <c r="F60" s="20">
        <v>2020.02</v>
      </c>
      <c r="G60" s="20">
        <v>2020.12</v>
      </c>
      <c r="H60" s="18" t="s">
        <v>57</v>
      </c>
      <c r="I60" s="20" t="s">
        <v>249</v>
      </c>
      <c r="J60" s="20">
        <v>4.08</v>
      </c>
      <c r="K60" s="20" t="s">
        <v>36</v>
      </c>
      <c r="L60" s="20">
        <v>36</v>
      </c>
      <c r="M60" s="20"/>
      <c r="N60" s="20" t="s">
        <v>250</v>
      </c>
    </row>
    <row r="61" ht="46.05" customHeight="1" spans="1:14">
      <c r="A61" s="18">
        <v>54</v>
      </c>
      <c r="B61" s="20" t="s">
        <v>251</v>
      </c>
      <c r="C61" s="20" t="s">
        <v>48</v>
      </c>
      <c r="D61" s="20" t="s">
        <v>97</v>
      </c>
      <c r="E61" s="20" t="s">
        <v>252</v>
      </c>
      <c r="F61" s="20">
        <v>2020.02</v>
      </c>
      <c r="G61" s="20">
        <v>2020.12</v>
      </c>
      <c r="H61" s="18" t="s">
        <v>57</v>
      </c>
      <c r="I61" s="20" t="s">
        <v>253</v>
      </c>
      <c r="J61" s="20">
        <v>10.24</v>
      </c>
      <c r="K61" s="20" t="s">
        <v>36</v>
      </c>
      <c r="L61" s="20">
        <v>82</v>
      </c>
      <c r="M61" s="20">
        <v>45</v>
      </c>
      <c r="N61" s="20" t="s">
        <v>254</v>
      </c>
    </row>
    <row r="62" ht="46.05" customHeight="1" spans="1:14">
      <c r="A62" s="18">
        <v>55</v>
      </c>
      <c r="B62" s="20" t="s">
        <v>255</v>
      </c>
      <c r="C62" s="20" t="s">
        <v>48</v>
      </c>
      <c r="D62" s="20" t="s">
        <v>97</v>
      </c>
      <c r="E62" s="20" t="s">
        <v>256</v>
      </c>
      <c r="F62" s="20">
        <v>2020.02</v>
      </c>
      <c r="G62" s="20">
        <v>2020.6</v>
      </c>
      <c r="H62" s="18" t="s">
        <v>57</v>
      </c>
      <c r="I62" s="20" t="s">
        <v>257</v>
      </c>
      <c r="J62" s="20">
        <v>1.28</v>
      </c>
      <c r="K62" s="20" t="s">
        <v>36</v>
      </c>
      <c r="L62" s="20">
        <v>11</v>
      </c>
      <c r="M62" s="20"/>
      <c r="N62" s="20" t="s">
        <v>258</v>
      </c>
    </row>
    <row r="63" ht="46.05" customHeight="1" spans="1:14">
      <c r="A63" s="18">
        <v>56</v>
      </c>
      <c r="B63" s="20" t="s">
        <v>259</v>
      </c>
      <c r="C63" s="20" t="s">
        <v>48</v>
      </c>
      <c r="D63" s="20" t="s">
        <v>97</v>
      </c>
      <c r="E63" s="20" t="s">
        <v>260</v>
      </c>
      <c r="F63" s="20">
        <v>2020.02</v>
      </c>
      <c r="G63" s="20">
        <v>2020.1</v>
      </c>
      <c r="H63" s="18" t="s">
        <v>57</v>
      </c>
      <c r="I63" s="20" t="s">
        <v>261</v>
      </c>
      <c r="J63" s="20">
        <v>8.4</v>
      </c>
      <c r="K63" s="20" t="s">
        <v>36</v>
      </c>
      <c r="L63" s="20">
        <v>13</v>
      </c>
      <c r="M63" s="20"/>
      <c r="N63" s="20" t="s">
        <v>262</v>
      </c>
    </row>
    <row r="64" ht="46.05" customHeight="1" spans="1:14">
      <c r="A64" s="18">
        <v>57</v>
      </c>
      <c r="B64" s="20" t="s">
        <v>263</v>
      </c>
      <c r="C64" s="20" t="s">
        <v>48</v>
      </c>
      <c r="D64" s="20" t="s">
        <v>23</v>
      </c>
      <c r="E64" s="20" t="s">
        <v>264</v>
      </c>
      <c r="F64" s="20">
        <v>2020.3</v>
      </c>
      <c r="G64" s="20">
        <v>2020.3</v>
      </c>
      <c r="H64" s="18" t="s">
        <v>57</v>
      </c>
      <c r="I64" s="20" t="s">
        <v>265</v>
      </c>
      <c r="J64" s="20">
        <v>0.8</v>
      </c>
      <c r="K64" s="20" t="s">
        <v>36</v>
      </c>
      <c r="L64" s="34">
        <v>2</v>
      </c>
      <c r="M64" s="34"/>
      <c r="N64" s="34" t="s">
        <v>266</v>
      </c>
    </row>
    <row r="65" ht="64.05" customHeight="1" spans="1:14">
      <c r="A65" s="18">
        <v>58</v>
      </c>
      <c r="B65" s="20" t="s">
        <v>267</v>
      </c>
      <c r="C65" s="20" t="s">
        <v>48</v>
      </c>
      <c r="D65" s="20" t="s">
        <v>23</v>
      </c>
      <c r="E65" s="20" t="s">
        <v>268</v>
      </c>
      <c r="F65" s="20">
        <v>2020.3</v>
      </c>
      <c r="G65" s="20">
        <v>2020.4</v>
      </c>
      <c r="H65" s="18" t="s">
        <v>57</v>
      </c>
      <c r="I65" s="20" t="s">
        <v>269</v>
      </c>
      <c r="J65" s="20">
        <v>8.0913</v>
      </c>
      <c r="K65" s="20" t="s">
        <v>36</v>
      </c>
      <c r="L65" s="34">
        <v>269</v>
      </c>
      <c r="M65" s="34"/>
      <c r="N65" s="34" t="s">
        <v>270</v>
      </c>
    </row>
    <row r="66" ht="43.95" customHeight="1" spans="1:14">
      <c r="A66" s="35" t="s">
        <v>271</v>
      </c>
      <c r="B66" s="36"/>
      <c r="C66" s="36"/>
      <c r="D66" s="36"/>
      <c r="E66" s="36"/>
      <c r="F66" s="36"/>
      <c r="G66" s="37"/>
      <c r="H66" s="38"/>
      <c r="I66" s="54"/>
      <c r="J66" s="54">
        <f>J67+J69+J161</f>
        <v>12107.9363716905</v>
      </c>
      <c r="K66" s="18"/>
      <c r="L66" s="38"/>
      <c r="M66" s="38"/>
      <c r="N66" s="38"/>
    </row>
    <row r="67" ht="34.05" customHeight="1" spans="1:14">
      <c r="A67" s="38" t="s">
        <v>272</v>
      </c>
      <c r="B67" s="38" t="s">
        <v>273</v>
      </c>
      <c r="C67" s="38"/>
      <c r="D67" s="38"/>
      <c r="E67" s="38"/>
      <c r="F67" s="38"/>
      <c r="G67" s="38"/>
      <c r="H67" s="38"/>
      <c r="I67" s="54"/>
      <c r="J67" s="55">
        <v>90.9</v>
      </c>
      <c r="K67" s="18"/>
      <c r="L67" s="38"/>
      <c r="M67" s="38"/>
      <c r="N67" s="38"/>
    </row>
    <row r="68" ht="73.05" customHeight="1" spans="1:14">
      <c r="A68" s="20">
        <v>59</v>
      </c>
      <c r="B68" s="20" t="s">
        <v>273</v>
      </c>
      <c r="C68" s="20" t="s">
        <v>274</v>
      </c>
      <c r="D68" s="20" t="s">
        <v>275</v>
      </c>
      <c r="E68" s="20" t="s">
        <v>24</v>
      </c>
      <c r="F68" s="20">
        <v>2020.1</v>
      </c>
      <c r="G68" s="20">
        <v>2020.6</v>
      </c>
      <c r="H68" s="20" t="s">
        <v>276</v>
      </c>
      <c r="I68" s="20" t="s">
        <v>277</v>
      </c>
      <c r="J68" s="20">
        <v>90.9</v>
      </c>
      <c r="K68" s="20" t="s">
        <v>278</v>
      </c>
      <c r="L68" s="20" t="s">
        <v>279</v>
      </c>
      <c r="M68" s="20" t="s">
        <v>280</v>
      </c>
      <c r="N68" s="20" t="s">
        <v>281</v>
      </c>
    </row>
    <row r="69" ht="52.05" customHeight="1" spans="1:14">
      <c r="A69" s="38" t="s">
        <v>282</v>
      </c>
      <c r="B69" s="39" t="s">
        <v>283</v>
      </c>
      <c r="C69" s="40"/>
      <c r="D69" s="40"/>
      <c r="E69" s="40"/>
      <c r="F69" s="40"/>
      <c r="G69" s="40"/>
      <c r="H69" s="40"/>
      <c r="I69" s="38"/>
      <c r="J69" s="56">
        <f>J70+J153</f>
        <v>5196.6134066905</v>
      </c>
      <c r="K69" s="18"/>
      <c r="L69" s="57"/>
      <c r="M69" s="57"/>
      <c r="N69" s="38"/>
    </row>
    <row r="70" ht="45" customHeight="1" spans="1:14">
      <c r="A70" s="38"/>
      <c r="B70" s="41" t="s">
        <v>284</v>
      </c>
      <c r="C70" s="42"/>
      <c r="D70" s="42"/>
      <c r="E70" s="42"/>
      <c r="F70" s="43"/>
      <c r="G70" s="44"/>
      <c r="H70" s="38"/>
      <c r="I70" s="38"/>
      <c r="J70" s="56">
        <f>SUM(J71:J152)</f>
        <v>5012.74318446828</v>
      </c>
      <c r="K70" s="58" t="s">
        <v>285</v>
      </c>
      <c r="L70" s="59"/>
      <c r="M70" s="59"/>
      <c r="N70" s="38"/>
    </row>
    <row r="71" ht="45" customHeight="1" spans="1:14">
      <c r="A71" s="45">
        <v>60</v>
      </c>
      <c r="B71" s="46" t="s">
        <v>286</v>
      </c>
      <c r="C71" s="45" t="s">
        <v>274</v>
      </c>
      <c r="D71" s="45" t="s">
        <v>287</v>
      </c>
      <c r="E71" s="46" t="s">
        <v>288</v>
      </c>
      <c r="F71" s="47" t="s">
        <v>289</v>
      </c>
      <c r="G71" s="47" t="s">
        <v>290</v>
      </c>
      <c r="H71" s="46" t="s">
        <v>288</v>
      </c>
      <c r="I71" s="60" t="s">
        <v>291</v>
      </c>
      <c r="J71" s="61">
        <v>18</v>
      </c>
      <c r="K71" s="46" t="s">
        <v>292</v>
      </c>
      <c r="L71" s="61">
        <v>45</v>
      </c>
      <c r="M71" s="61">
        <v>775</v>
      </c>
      <c r="N71" s="62" t="s">
        <v>293</v>
      </c>
    </row>
    <row r="72" ht="45" customHeight="1" spans="1:14">
      <c r="A72" s="45">
        <v>61</v>
      </c>
      <c r="B72" s="46" t="s">
        <v>294</v>
      </c>
      <c r="C72" s="45" t="s">
        <v>274</v>
      </c>
      <c r="D72" s="45" t="s">
        <v>287</v>
      </c>
      <c r="E72" s="48" t="s">
        <v>295</v>
      </c>
      <c r="F72" s="47" t="s">
        <v>289</v>
      </c>
      <c r="G72" s="47" t="s">
        <v>290</v>
      </c>
      <c r="H72" s="48" t="s">
        <v>295</v>
      </c>
      <c r="I72" s="60" t="s">
        <v>296</v>
      </c>
      <c r="J72" s="61">
        <v>19.2</v>
      </c>
      <c r="K72" s="46" t="s">
        <v>292</v>
      </c>
      <c r="L72" s="61">
        <v>85</v>
      </c>
      <c r="M72" s="61">
        <v>772</v>
      </c>
      <c r="N72" s="62" t="s">
        <v>293</v>
      </c>
    </row>
    <row r="73" ht="45" customHeight="1" spans="1:14">
      <c r="A73" s="45">
        <v>63</v>
      </c>
      <c r="B73" s="46" t="s">
        <v>297</v>
      </c>
      <c r="C73" s="45" t="s">
        <v>274</v>
      </c>
      <c r="D73" s="49" t="s">
        <v>23</v>
      </c>
      <c r="E73" s="48" t="s">
        <v>298</v>
      </c>
      <c r="F73" s="47" t="s">
        <v>289</v>
      </c>
      <c r="G73" s="47" t="s">
        <v>290</v>
      </c>
      <c r="H73" s="48" t="s">
        <v>298</v>
      </c>
      <c r="I73" s="60" t="s">
        <v>299</v>
      </c>
      <c r="J73" s="61">
        <v>145</v>
      </c>
      <c r="K73" s="46" t="s">
        <v>292</v>
      </c>
      <c r="L73" s="61">
        <v>35</v>
      </c>
      <c r="M73" s="61">
        <v>1085</v>
      </c>
      <c r="N73" s="62" t="s">
        <v>293</v>
      </c>
    </row>
    <row r="74" ht="45" customHeight="1" spans="1:14">
      <c r="A74" s="45">
        <v>64</v>
      </c>
      <c r="B74" s="50" t="s">
        <v>300</v>
      </c>
      <c r="C74" s="45" t="s">
        <v>274</v>
      </c>
      <c r="D74" s="49" t="s">
        <v>23</v>
      </c>
      <c r="E74" s="48" t="s">
        <v>301</v>
      </c>
      <c r="F74" s="47" t="s">
        <v>289</v>
      </c>
      <c r="G74" s="47" t="s">
        <v>290</v>
      </c>
      <c r="H74" s="48" t="s">
        <v>301</v>
      </c>
      <c r="I74" s="60" t="s">
        <v>299</v>
      </c>
      <c r="J74" s="63">
        <v>45</v>
      </c>
      <c r="K74" s="46" t="s">
        <v>292</v>
      </c>
      <c r="L74" s="64">
        <v>56</v>
      </c>
      <c r="M74" s="64">
        <v>569</v>
      </c>
      <c r="N74" s="62" t="s">
        <v>293</v>
      </c>
    </row>
    <row r="75" ht="45" customHeight="1" spans="1:14">
      <c r="A75" s="45">
        <v>65</v>
      </c>
      <c r="B75" s="51" t="s">
        <v>302</v>
      </c>
      <c r="C75" s="45" t="s">
        <v>274</v>
      </c>
      <c r="D75" s="45" t="s">
        <v>287</v>
      </c>
      <c r="E75" s="48" t="s">
        <v>303</v>
      </c>
      <c r="F75" s="47" t="s">
        <v>289</v>
      </c>
      <c r="G75" s="47" t="s">
        <v>290</v>
      </c>
      <c r="H75" s="48" t="s">
        <v>303</v>
      </c>
      <c r="I75" s="65" t="s">
        <v>304</v>
      </c>
      <c r="J75" s="66">
        <v>7</v>
      </c>
      <c r="K75" s="46" t="s">
        <v>292</v>
      </c>
      <c r="L75" s="64">
        <v>35</v>
      </c>
      <c r="M75" s="64">
        <v>125</v>
      </c>
      <c r="N75" s="62" t="s">
        <v>293</v>
      </c>
    </row>
    <row r="76" ht="45" customHeight="1" spans="1:14">
      <c r="A76" s="45">
        <v>66</v>
      </c>
      <c r="B76" s="50" t="s">
        <v>305</v>
      </c>
      <c r="C76" s="45" t="s">
        <v>274</v>
      </c>
      <c r="D76" s="45" t="s">
        <v>287</v>
      </c>
      <c r="E76" s="48" t="s">
        <v>162</v>
      </c>
      <c r="F76" s="47" t="s">
        <v>289</v>
      </c>
      <c r="G76" s="47" t="s">
        <v>290</v>
      </c>
      <c r="H76" s="48" t="s">
        <v>162</v>
      </c>
      <c r="I76" s="60" t="s">
        <v>306</v>
      </c>
      <c r="J76" s="63">
        <v>15</v>
      </c>
      <c r="K76" s="46" t="s">
        <v>292</v>
      </c>
      <c r="L76" s="64">
        <v>33</v>
      </c>
      <c r="M76" s="64">
        <v>162</v>
      </c>
      <c r="N76" s="62" t="s">
        <v>293</v>
      </c>
    </row>
    <row r="77" ht="45" customHeight="1" spans="1:14">
      <c r="A77" s="45">
        <v>67</v>
      </c>
      <c r="B77" s="46" t="s">
        <v>307</v>
      </c>
      <c r="C77" s="45" t="s">
        <v>274</v>
      </c>
      <c r="D77" s="45" t="s">
        <v>287</v>
      </c>
      <c r="E77" s="48" t="s">
        <v>308</v>
      </c>
      <c r="F77" s="47" t="s">
        <v>289</v>
      </c>
      <c r="G77" s="47" t="s">
        <v>290</v>
      </c>
      <c r="H77" s="48" t="s">
        <v>308</v>
      </c>
      <c r="I77" s="60" t="s">
        <v>309</v>
      </c>
      <c r="J77" s="66">
        <v>30</v>
      </c>
      <c r="K77" s="46" t="s">
        <v>292</v>
      </c>
      <c r="L77" s="64">
        <v>39</v>
      </c>
      <c r="M77" s="64">
        <v>99</v>
      </c>
      <c r="N77" s="62" t="s">
        <v>293</v>
      </c>
    </row>
    <row r="78" ht="45" customHeight="1" spans="1:14">
      <c r="A78" s="45">
        <v>68</v>
      </c>
      <c r="B78" s="46" t="s">
        <v>310</v>
      </c>
      <c r="C78" s="45" t="s">
        <v>274</v>
      </c>
      <c r="D78" s="45" t="s">
        <v>287</v>
      </c>
      <c r="E78" s="48" t="s">
        <v>308</v>
      </c>
      <c r="F78" s="47" t="s">
        <v>289</v>
      </c>
      <c r="G78" s="47" t="s">
        <v>290</v>
      </c>
      <c r="H78" s="48" t="s">
        <v>308</v>
      </c>
      <c r="I78" s="60" t="s">
        <v>309</v>
      </c>
      <c r="J78" s="66">
        <v>20</v>
      </c>
      <c r="K78" s="46" t="s">
        <v>292</v>
      </c>
      <c r="L78" s="64">
        <v>20</v>
      </c>
      <c r="M78" s="64">
        <v>82</v>
      </c>
      <c r="N78" s="62" t="s">
        <v>293</v>
      </c>
    </row>
    <row r="79" ht="45" customHeight="1" spans="1:14">
      <c r="A79" s="45">
        <v>69</v>
      </c>
      <c r="B79" s="46" t="s">
        <v>311</v>
      </c>
      <c r="C79" s="45" t="s">
        <v>274</v>
      </c>
      <c r="D79" s="45" t="s">
        <v>287</v>
      </c>
      <c r="E79" s="45" t="s">
        <v>312</v>
      </c>
      <c r="F79" s="47" t="s">
        <v>289</v>
      </c>
      <c r="G79" s="47" t="s">
        <v>290</v>
      </c>
      <c r="H79" s="45" t="s">
        <v>312</v>
      </c>
      <c r="I79" s="60" t="s">
        <v>313</v>
      </c>
      <c r="J79" s="66">
        <v>5</v>
      </c>
      <c r="K79" s="46" t="s">
        <v>292</v>
      </c>
      <c r="L79" s="64">
        <v>18</v>
      </c>
      <c r="M79" s="64">
        <v>73</v>
      </c>
      <c r="N79" s="62" t="s">
        <v>293</v>
      </c>
    </row>
    <row r="80" ht="45" customHeight="1" spans="1:14">
      <c r="A80" s="45">
        <v>70</v>
      </c>
      <c r="B80" s="46" t="s">
        <v>314</v>
      </c>
      <c r="C80" s="45" t="s">
        <v>274</v>
      </c>
      <c r="D80" s="45" t="s">
        <v>287</v>
      </c>
      <c r="E80" s="45" t="s">
        <v>315</v>
      </c>
      <c r="F80" s="47" t="s">
        <v>289</v>
      </c>
      <c r="G80" s="47" t="s">
        <v>290</v>
      </c>
      <c r="H80" s="45" t="s">
        <v>315</v>
      </c>
      <c r="I80" s="60" t="s">
        <v>316</v>
      </c>
      <c r="J80" s="66">
        <v>20</v>
      </c>
      <c r="K80" s="46" t="s">
        <v>292</v>
      </c>
      <c r="L80" s="64">
        <v>23</v>
      </c>
      <c r="M80" s="64">
        <v>55</v>
      </c>
      <c r="N80" s="62" t="s">
        <v>293</v>
      </c>
    </row>
    <row r="81" ht="45" customHeight="1" spans="1:14">
      <c r="A81" s="45">
        <v>71</v>
      </c>
      <c r="B81" s="46" t="s">
        <v>317</v>
      </c>
      <c r="C81" s="45" t="s">
        <v>274</v>
      </c>
      <c r="D81" s="45" t="s">
        <v>287</v>
      </c>
      <c r="E81" s="45" t="s">
        <v>318</v>
      </c>
      <c r="F81" s="47" t="s">
        <v>289</v>
      </c>
      <c r="G81" s="47" t="s">
        <v>290</v>
      </c>
      <c r="H81" s="45" t="s">
        <v>318</v>
      </c>
      <c r="I81" s="60" t="s">
        <v>316</v>
      </c>
      <c r="J81" s="66">
        <v>26.3</v>
      </c>
      <c r="K81" s="46" t="s">
        <v>292</v>
      </c>
      <c r="L81" s="64">
        <v>15</v>
      </c>
      <c r="M81" s="64">
        <v>305</v>
      </c>
      <c r="N81" s="62" t="s">
        <v>293</v>
      </c>
    </row>
    <row r="82" ht="45" customHeight="1" spans="1:14">
      <c r="A82" s="45">
        <v>72</v>
      </c>
      <c r="B82" s="50" t="s">
        <v>319</v>
      </c>
      <c r="C82" s="45" t="s">
        <v>274</v>
      </c>
      <c r="D82" s="45" t="s">
        <v>287</v>
      </c>
      <c r="E82" s="45" t="s">
        <v>320</v>
      </c>
      <c r="F82" s="47" t="s">
        <v>289</v>
      </c>
      <c r="G82" s="47" t="s">
        <v>290</v>
      </c>
      <c r="H82" s="45" t="s">
        <v>320</v>
      </c>
      <c r="I82" s="60" t="s">
        <v>321</v>
      </c>
      <c r="J82" s="63">
        <v>26</v>
      </c>
      <c r="K82" s="46" t="s">
        <v>292</v>
      </c>
      <c r="L82" s="64">
        <v>55</v>
      </c>
      <c r="M82" s="64">
        <v>532</v>
      </c>
      <c r="N82" s="62" t="s">
        <v>293</v>
      </c>
    </row>
    <row r="83" ht="45" customHeight="1" spans="1:14">
      <c r="A83" s="45">
        <v>73</v>
      </c>
      <c r="B83" s="50" t="s">
        <v>322</v>
      </c>
      <c r="C83" s="45" t="s">
        <v>274</v>
      </c>
      <c r="D83" s="45" t="s">
        <v>287</v>
      </c>
      <c r="E83" s="48" t="s">
        <v>323</v>
      </c>
      <c r="F83" s="47" t="s">
        <v>289</v>
      </c>
      <c r="G83" s="47" t="s">
        <v>290</v>
      </c>
      <c r="H83" s="48" t="s">
        <v>323</v>
      </c>
      <c r="I83" s="60" t="s">
        <v>324</v>
      </c>
      <c r="J83" s="63">
        <v>2</v>
      </c>
      <c r="K83" s="46" t="s">
        <v>292</v>
      </c>
      <c r="L83" s="64">
        <v>35</v>
      </c>
      <c r="M83" s="64">
        <v>63</v>
      </c>
      <c r="N83" s="62" t="s">
        <v>293</v>
      </c>
    </row>
    <row r="84" ht="45" customHeight="1" spans="1:14">
      <c r="A84" s="45">
        <v>74</v>
      </c>
      <c r="B84" s="50" t="s">
        <v>325</v>
      </c>
      <c r="C84" s="45" t="s">
        <v>274</v>
      </c>
      <c r="D84" s="49" t="s">
        <v>23</v>
      </c>
      <c r="E84" s="48" t="s">
        <v>326</v>
      </c>
      <c r="F84" s="47" t="s">
        <v>289</v>
      </c>
      <c r="G84" s="47" t="s">
        <v>290</v>
      </c>
      <c r="H84" s="48" t="s">
        <v>326</v>
      </c>
      <c r="I84" s="60" t="s">
        <v>327</v>
      </c>
      <c r="J84" s="63">
        <v>45</v>
      </c>
      <c r="K84" s="46" t="s">
        <v>292</v>
      </c>
      <c r="L84" s="64">
        <v>15</v>
      </c>
      <c r="M84" s="64">
        <v>83</v>
      </c>
      <c r="N84" s="62" t="s">
        <v>293</v>
      </c>
    </row>
    <row r="85" ht="40.5" spans="1:14">
      <c r="A85" s="45">
        <v>75</v>
      </c>
      <c r="B85" s="52" t="s">
        <v>328</v>
      </c>
      <c r="C85" s="18" t="s">
        <v>329</v>
      </c>
      <c r="D85" s="53" t="s">
        <v>330</v>
      </c>
      <c r="E85" s="18" t="s">
        <v>331</v>
      </c>
      <c r="F85" s="19" t="s">
        <v>332</v>
      </c>
      <c r="G85" s="19" t="s">
        <v>333</v>
      </c>
      <c r="H85" s="18" t="s">
        <v>334</v>
      </c>
      <c r="I85" s="18" t="s">
        <v>335</v>
      </c>
      <c r="J85" s="58">
        <v>56.12</v>
      </c>
      <c r="K85" s="18" t="s">
        <v>336</v>
      </c>
      <c r="L85" s="67">
        <v>171</v>
      </c>
      <c r="M85" s="67">
        <f>612-171</f>
        <v>441</v>
      </c>
      <c r="N85" s="19" t="s">
        <v>293</v>
      </c>
    </row>
    <row r="86" ht="40.5" spans="1:14">
      <c r="A86" s="45">
        <v>76</v>
      </c>
      <c r="B86" s="52" t="s">
        <v>337</v>
      </c>
      <c r="C86" s="18" t="s">
        <v>329</v>
      </c>
      <c r="D86" s="53" t="s">
        <v>330</v>
      </c>
      <c r="E86" s="52" t="s">
        <v>338</v>
      </c>
      <c r="F86" s="19" t="s">
        <v>332</v>
      </c>
      <c r="G86" s="19" t="s">
        <v>333</v>
      </c>
      <c r="H86" s="18" t="s">
        <v>334</v>
      </c>
      <c r="I86" s="52" t="s">
        <v>339</v>
      </c>
      <c r="J86" s="58">
        <v>36.12</v>
      </c>
      <c r="K86" s="18" t="s">
        <v>336</v>
      </c>
      <c r="L86" s="67">
        <v>47</v>
      </c>
      <c r="M86" s="67">
        <f>215-47</f>
        <v>168</v>
      </c>
      <c r="N86" s="19" t="s">
        <v>293</v>
      </c>
    </row>
    <row r="87" ht="40.5" spans="1:14">
      <c r="A87" s="45">
        <v>77</v>
      </c>
      <c r="B87" s="52" t="s">
        <v>340</v>
      </c>
      <c r="C87" s="18" t="s">
        <v>329</v>
      </c>
      <c r="D87" s="53" t="s">
        <v>330</v>
      </c>
      <c r="E87" s="52" t="s">
        <v>341</v>
      </c>
      <c r="F87" s="19" t="s">
        <v>332</v>
      </c>
      <c r="G87" s="19" t="s">
        <v>333</v>
      </c>
      <c r="H87" s="18" t="s">
        <v>334</v>
      </c>
      <c r="I87" s="52" t="s">
        <v>342</v>
      </c>
      <c r="J87" s="58">
        <v>25</v>
      </c>
      <c r="K87" s="18" t="s">
        <v>336</v>
      </c>
      <c r="L87" s="67">
        <v>28</v>
      </c>
      <c r="M87" s="67">
        <f>210-28</f>
        <v>182</v>
      </c>
      <c r="N87" s="19" t="s">
        <v>293</v>
      </c>
    </row>
    <row r="88" ht="40.5" spans="1:14">
      <c r="A88" s="45">
        <v>78</v>
      </c>
      <c r="B88" s="52" t="s">
        <v>343</v>
      </c>
      <c r="C88" s="18" t="s">
        <v>329</v>
      </c>
      <c r="D88" s="53" t="s">
        <v>330</v>
      </c>
      <c r="E88" s="52" t="s">
        <v>344</v>
      </c>
      <c r="F88" s="19" t="s">
        <v>332</v>
      </c>
      <c r="G88" s="19" t="s">
        <v>333</v>
      </c>
      <c r="H88" s="18" t="s">
        <v>334</v>
      </c>
      <c r="I88" s="52" t="s">
        <v>345</v>
      </c>
      <c r="J88" s="58">
        <v>66.12</v>
      </c>
      <c r="K88" s="18" t="s">
        <v>336</v>
      </c>
      <c r="L88" s="67">
        <v>55</v>
      </c>
      <c r="M88" s="67">
        <f>815-55</f>
        <v>760</v>
      </c>
      <c r="N88" s="19" t="s">
        <v>293</v>
      </c>
    </row>
    <row r="89" ht="40.5" spans="1:14">
      <c r="A89" s="45">
        <v>79</v>
      </c>
      <c r="B89" s="52" t="s">
        <v>346</v>
      </c>
      <c r="C89" s="18" t="s">
        <v>329</v>
      </c>
      <c r="D89" s="53" t="s">
        <v>330</v>
      </c>
      <c r="E89" s="52" t="s">
        <v>347</v>
      </c>
      <c r="F89" s="19" t="s">
        <v>332</v>
      </c>
      <c r="G89" s="19" t="s">
        <v>333</v>
      </c>
      <c r="H89" s="18" t="s">
        <v>334</v>
      </c>
      <c r="I89" s="52" t="s">
        <v>348</v>
      </c>
      <c r="J89" s="58">
        <v>136.12</v>
      </c>
      <c r="K89" s="18" t="s">
        <v>336</v>
      </c>
      <c r="L89" s="67">
        <v>98</v>
      </c>
      <c r="M89" s="67">
        <f>522-98</f>
        <v>424</v>
      </c>
      <c r="N89" s="19" t="s">
        <v>293</v>
      </c>
    </row>
    <row r="90" ht="37.05" customHeight="1" spans="1:14">
      <c r="A90" s="45">
        <v>80</v>
      </c>
      <c r="B90" s="52" t="s">
        <v>349</v>
      </c>
      <c r="C90" s="18" t="s">
        <v>329</v>
      </c>
      <c r="D90" s="53" t="s">
        <v>330</v>
      </c>
      <c r="E90" s="52" t="s">
        <v>350</v>
      </c>
      <c r="F90" s="19" t="s">
        <v>332</v>
      </c>
      <c r="G90" s="19" t="s">
        <v>333</v>
      </c>
      <c r="H90" s="18" t="s">
        <v>334</v>
      </c>
      <c r="I90" s="52" t="s">
        <v>351</v>
      </c>
      <c r="J90" s="58">
        <v>32.12</v>
      </c>
      <c r="K90" s="18" t="s">
        <v>336</v>
      </c>
      <c r="L90" s="67">
        <v>117</v>
      </c>
      <c r="M90" s="67">
        <f>328-117</f>
        <v>211</v>
      </c>
      <c r="N90" s="19" t="s">
        <v>293</v>
      </c>
    </row>
    <row r="91" ht="40.5" spans="1:14">
      <c r="A91" s="45">
        <v>81</v>
      </c>
      <c r="B91" s="52" t="s">
        <v>352</v>
      </c>
      <c r="C91" s="18" t="s">
        <v>329</v>
      </c>
      <c r="D91" s="53" t="s">
        <v>330</v>
      </c>
      <c r="E91" s="52" t="s">
        <v>353</v>
      </c>
      <c r="F91" s="19" t="s">
        <v>332</v>
      </c>
      <c r="G91" s="19" t="s">
        <v>333</v>
      </c>
      <c r="H91" s="18" t="s">
        <v>334</v>
      </c>
      <c r="I91" s="52" t="s">
        <v>354</v>
      </c>
      <c r="J91" s="58">
        <v>25</v>
      </c>
      <c r="K91" s="18" t="s">
        <v>336</v>
      </c>
      <c r="L91" s="67">
        <v>37</v>
      </c>
      <c r="M91" s="67">
        <f>90-37</f>
        <v>53</v>
      </c>
      <c r="N91" s="19" t="s">
        <v>293</v>
      </c>
    </row>
    <row r="92" ht="40.5" spans="1:14">
      <c r="A92" s="45">
        <v>82</v>
      </c>
      <c r="B92" s="52" t="s">
        <v>355</v>
      </c>
      <c r="C92" s="18" t="s">
        <v>329</v>
      </c>
      <c r="D92" s="53" t="s">
        <v>330</v>
      </c>
      <c r="E92" s="52" t="s">
        <v>356</v>
      </c>
      <c r="F92" s="19" t="s">
        <v>332</v>
      </c>
      <c r="G92" s="19" t="s">
        <v>333</v>
      </c>
      <c r="H92" s="18" t="s">
        <v>334</v>
      </c>
      <c r="I92" s="52" t="s">
        <v>357</v>
      </c>
      <c r="J92" s="58">
        <v>39.42</v>
      </c>
      <c r="K92" s="18" t="s">
        <v>336</v>
      </c>
      <c r="L92" s="67">
        <v>78</v>
      </c>
      <c r="M92" s="67">
        <f>340-78</f>
        <v>262</v>
      </c>
      <c r="N92" s="19" t="s">
        <v>293</v>
      </c>
    </row>
    <row r="93" ht="40.5" spans="1:14">
      <c r="A93" s="45">
        <v>83</v>
      </c>
      <c r="B93" s="52" t="s">
        <v>358</v>
      </c>
      <c r="C93" s="18" t="s">
        <v>329</v>
      </c>
      <c r="D93" s="53" t="s">
        <v>330</v>
      </c>
      <c r="E93" s="52" t="s">
        <v>359</v>
      </c>
      <c r="F93" s="19" t="s">
        <v>332</v>
      </c>
      <c r="G93" s="19" t="s">
        <v>333</v>
      </c>
      <c r="H93" s="18" t="s">
        <v>334</v>
      </c>
      <c r="I93" s="52" t="s">
        <v>360</v>
      </c>
      <c r="J93" s="58">
        <v>156.02</v>
      </c>
      <c r="K93" s="18" t="s">
        <v>336</v>
      </c>
      <c r="L93" s="67">
        <v>82</v>
      </c>
      <c r="M93" s="67">
        <f>710-82</f>
        <v>628</v>
      </c>
      <c r="N93" s="19" t="s">
        <v>293</v>
      </c>
    </row>
    <row r="94" ht="40.5" spans="1:14">
      <c r="A94" s="45">
        <v>84</v>
      </c>
      <c r="B94" s="18" t="s">
        <v>361</v>
      </c>
      <c r="C94" s="18" t="s">
        <v>329</v>
      </c>
      <c r="D94" s="53" t="s">
        <v>330</v>
      </c>
      <c r="E94" s="18" t="s">
        <v>362</v>
      </c>
      <c r="F94" s="19" t="s">
        <v>332</v>
      </c>
      <c r="G94" s="19" t="s">
        <v>333</v>
      </c>
      <c r="H94" s="18" t="s">
        <v>334</v>
      </c>
      <c r="I94" s="18" t="s">
        <v>363</v>
      </c>
      <c r="J94" s="58">
        <v>138.62</v>
      </c>
      <c r="K94" s="18" t="s">
        <v>336</v>
      </c>
      <c r="L94" s="67">
        <v>108</v>
      </c>
      <c r="M94" s="67">
        <f>610-108</f>
        <v>502</v>
      </c>
      <c r="N94" s="19" t="s">
        <v>293</v>
      </c>
    </row>
    <row r="95" ht="40.5" spans="1:14">
      <c r="A95" s="45">
        <v>85</v>
      </c>
      <c r="B95" s="18" t="s">
        <v>364</v>
      </c>
      <c r="C95" s="18" t="s">
        <v>329</v>
      </c>
      <c r="D95" s="53" t="s">
        <v>330</v>
      </c>
      <c r="E95" s="18" t="s">
        <v>365</v>
      </c>
      <c r="F95" s="19" t="s">
        <v>332</v>
      </c>
      <c r="G95" s="19" t="s">
        <v>333</v>
      </c>
      <c r="H95" s="18" t="s">
        <v>334</v>
      </c>
      <c r="I95" s="18" t="s">
        <v>366</v>
      </c>
      <c r="J95" s="58">
        <v>5</v>
      </c>
      <c r="K95" s="18" t="s">
        <v>336</v>
      </c>
      <c r="L95" s="67">
        <v>56</v>
      </c>
      <c r="M95" s="67">
        <f>198-56</f>
        <v>142</v>
      </c>
      <c r="N95" s="19" t="s">
        <v>293</v>
      </c>
    </row>
    <row r="96" ht="40.5" spans="1:14">
      <c r="A96" s="45">
        <v>86</v>
      </c>
      <c r="B96" s="18" t="s">
        <v>367</v>
      </c>
      <c r="C96" s="18" t="s">
        <v>329</v>
      </c>
      <c r="D96" s="53" t="s">
        <v>330</v>
      </c>
      <c r="E96" s="18" t="s">
        <v>368</v>
      </c>
      <c r="F96" s="19" t="s">
        <v>332</v>
      </c>
      <c r="G96" s="19" t="s">
        <v>333</v>
      </c>
      <c r="H96" s="18" t="s">
        <v>334</v>
      </c>
      <c r="I96" s="18" t="s">
        <v>369</v>
      </c>
      <c r="J96" s="58">
        <v>26.12</v>
      </c>
      <c r="K96" s="18" t="s">
        <v>336</v>
      </c>
      <c r="L96" s="67">
        <v>46</v>
      </c>
      <c r="M96" s="67">
        <f>331-46</f>
        <v>285</v>
      </c>
      <c r="N96" s="19" t="s">
        <v>293</v>
      </c>
    </row>
    <row r="97" ht="40.5" spans="1:14">
      <c r="A97" s="45">
        <v>87</v>
      </c>
      <c r="B97" s="52" t="s">
        <v>370</v>
      </c>
      <c r="C97" s="18" t="s">
        <v>329</v>
      </c>
      <c r="D97" s="53" t="s">
        <v>330</v>
      </c>
      <c r="E97" s="52" t="s">
        <v>371</v>
      </c>
      <c r="F97" s="19" t="s">
        <v>332</v>
      </c>
      <c r="G97" s="19" t="s">
        <v>333</v>
      </c>
      <c r="H97" s="18" t="s">
        <v>334</v>
      </c>
      <c r="I97" s="52" t="s">
        <v>372</v>
      </c>
      <c r="J97" s="58">
        <v>57.12</v>
      </c>
      <c r="K97" s="18" t="s">
        <v>336</v>
      </c>
      <c r="L97" s="67">
        <v>150</v>
      </c>
      <c r="M97" s="67">
        <f>352-150</f>
        <v>202</v>
      </c>
      <c r="N97" s="19" t="s">
        <v>293</v>
      </c>
    </row>
    <row r="98" ht="40.5" spans="1:14">
      <c r="A98" s="45">
        <v>88</v>
      </c>
      <c r="B98" s="52" t="s">
        <v>373</v>
      </c>
      <c r="C98" s="18" t="s">
        <v>329</v>
      </c>
      <c r="D98" s="53" t="s">
        <v>330</v>
      </c>
      <c r="E98" s="52" t="s">
        <v>374</v>
      </c>
      <c r="F98" s="19" t="s">
        <v>332</v>
      </c>
      <c r="G98" s="19" t="s">
        <v>333</v>
      </c>
      <c r="H98" s="18" t="s">
        <v>334</v>
      </c>
      <c r="I98" s="52" t="s">
        <v>375</v>
      </c>
      <c r="J98" s="58">
        <v>18.62</v>
      </c>
      <c r="K98" s="18" t="s">
        <v>336</v>
      </c>
      <c r="L98" s="67">
        <v>71</v>
      </c>
      <c r="M98" s="67">
        <f>336-71</f>
        <v>265</v>
      </c>
      <c r="N98" s="19" t="s">
        <v>293</v>
      </c>
    </row>
    <row r="99" ht="40.5" spans="1:14">
      <c r="A99" s="45">
        <v>89</v>
      </c>
      <c r="B99" s="52" t="s">
        <v>376</v>
      </c>
      <c r="C99" s="18" t="s">
        <v>329</v>
      </c>
      <c r="D99" s="53" t="s">
        <v>330</v>
      </c>
      <c r="E99" s="52" t="s">
        <v>377</v>
      </c>
      <c r="F99" s="19" t="s">
        <v>332</v>
      </c>
      <c r="G99" s="19" t="s">
        <v>333</v>
      </c>
      <c r="H99" s="18" t="s">
        <v>334</v>
      </c>
      <c r="I99" s="52" t="s">
        <v>378</v>
      </c>
      <c r="J99" s="58">
        <v>178.12</v>
      </c>
      <c r="K99" s="18" t="s">
        <v>336</v>
      </c>
      <c r="L99" s="67">
        <v>291</v>
      </c>
      <c r="M99" s="67">
        <f>1336-291</f>
        <v>1045</v>
      </c>
      <c r="N99" s="19" t="s">
        <v>293</v>
      </c>
    </row>
    <row r="100" ht="40.5" spans="1:14">
      <c r="A100" s="45">
        <v>90</v>
      </c>
      <c r="B100" s="52" t="s">
        <v>379</v>
      </c>
      <c r="C100" s="18" t="s">
        <v>329</v>
      </c>
      <c r="D100" s="53" t="s">
        <v>330</v>
      </c>
      <c r="E100" s="52" t="s">
        <v>380</v>
      </c>
      <c r="F100" s="19" t="s">
        <v>332</v>
      </c>
      <c r="G100" s="19" t="s">
        <v>333</v>
      </c>
      <c r="H100" s="18" t="s">
        <v>334</v>
      </c>
      <c r="I100" s="52" t="s">
        <v>381</v>
      </c>
      <c r="J100" s="58">
        <v>43.12</v>
      </c>
      <c r="K100" s="18" t="s">
        <v>336</v>
      </c>
      <c r="L100" s="67">
        <v>39</v>
      </c>
      <c r="M100" s="67">
        <f>133-39</f>
        <v>94</v>
      </c>
      <c r="N100" s="19" t="s">
        <v>293</v>
      </c>
    </row>
    <row r="101" ht="40.5" spans="1:14">
      <c r="A101" s="45">
        <v>91</v>
      </c>
      <c r="B101" s="52" t="s">
        <v>382</v>
      </c>
      <c r="C101" s="18" t="s">
        <v>329</v>
      </c>
      <c r="D101" s="53" t="s">
        <v>330</v>
      </c>
      <c r="E101" s="52" t="s">
        <v>383</v>
      </c>
      <c r="F101" s="19" t="s">
        <v>332</v>
      </c>
      <c r="G101" s="19" t="s">
        <v>333</v>
      </c>
      <c r="H101" s="18" t="s">
        <v>334</v>
      </c>
      <c r="I101" s="52" t="s">
        <v>384</v>
      </c>
      <c r="J101" s="58">
        <v>57.32</v>
      </c>
      <c r="K101" s="18" t="s">
        <v>336</v>
      </c>
      <c r="L101" s="67">
        <v>145</v>
      </c>
      <c r="M101" s="67">
        <f>578-145</f>
        <v>433</v>
      </c>
      <c r="N101" s="19" t="s">
        <v>293</v>
      </c>
    </row>
    <row r="102" ht="40.5" spans="1:14">
      <c r="A102" s="45">
        <v>92</v>
      </c>
      <c r="B102" s="52" t="s">
        <v>385</v>
      </c>
      <c r="C102" s="18" t="s">
        <v>329</v>
      </c>
      <c r="D102" s="53" t="s">
        <v>330</v>
      </c>
      <c r="E102" s="52" t="s">
        <v>386</v>
      </c>
      <c r="F102" s="19" t="s">
        <v>332</v>
      </c>
      <c r="G102" s="19" t="s">
        <v>333</v>
      </c>
      <c r="H102" s="18" t="s">
        <v>334</v>
      </c>
      <c r="I102" s="52" t="s">
        <v>387</v>
      </c>
      <c r="J102" s="58">
        <v>56.12</v>
      </c>
      <c r="K102" s="18" t="s">
        <v>336</v>
      </c>
      <c r="L102" s="67">
        <v>193</v>
      </c>
      <c r="M102" s="67">
        <f>353-193</f>
        <v>160</v>
      </c>
      <c r="N102" s="19" t="s">
        <v>293</v>
      </c>
    </row>
    <row r="103" ht="40.5" spans="1:14">
      <c r="A103" s="45">
        <v>93</v>
      </c>
      <c r="B103" s="52" t="s">
        <v>388</v>
      </c>
      <c r="C103" s="18" t="s">
        <v>329</v>
      </c>
      <c r="D103" s="53" t="s">
        <v>330</v>
      </c>
      <c r="E103" s="52" t="s">
        <v>389</v>
      </c>
      <c r="F103" s="19" t="s">
        <v>332</v>
      </c>
      <c r="G103" s="19" t="s">
        <v>333</v>
      </c>
      <c r="H103" s="18" t="s">
        <v>334</v>
      </c>
      <c r="I103" s="52" t="s">
        <v>390</v>
      </c>
      <c r="J103" s="58">
        <v>79.12</v>
      </c>
      <c r="K103" s="18" t="s">
        <v>336</v>
      </c>
      <c r="L103" s="67">
        <v>75</v>
      </c>
      <c r="M103" s="67">
        <f>547-75</f>
        <v>472</v>
      </c>
      <c r="N103" s="19" t="s">
        <v>293</v>
      </c>
    </row>
    <row r="104" ht="40.5" spans="1:14">
      <c r="A104" s="45">
        <v>94</v>
      </c>
      <c r="B104" s="52" t="s">
        <v>391</v>
      </c>
      <c r="C104" s="18" t="s">
        <v>329</v>
      </c>
      <c r="D104" s="53" t="s">
        <v>330</v>
      </c>
      <c r="E104" s="52" t="s">
        <v>392</v>
      </c>
      <c r="F104" s="19" t="s">
        <v>332</v>
      </c>
      <c r="G104" s="19" t="s">
        <v>333</v>
      </c>
      <c r="H104" s="18" t="s">
        <v>334</v>
      </c>
      <c r="I104" s="52" t="s">
        <v>393</v>
      </c>
      <c r="J104" s="58">
        <v>67.12</v>
      </c>
      <c r="K104" s="18" t="s">
        <v>336</v>
      </c>
      <c r="L104" s="67">
        <v>126</v>
      </c>
      <c r="M104" s="67">
        <f>402-126</f>
        <v>276</v>
      </c>
      <c r="N104" s="19" t="s">
        <v>293</v>
      </c>
    </row>
    <row r="105" ht="40.5" spans="1:14">
      <c r="A105" s="45">
        <v>95</v>
      </c>
      <c r="B105" s="52" t="s">
        <v>394</v>
      </c>
      <c r="C105" s="18" t="s">
        <v>329</v>
      </c>
      <c r="D105" s="53" t="s">
        <v>330</v>
      </c>
      <c r="E105" s="52" t="s">
        <v>395</v>
      </c>
      <c r="F105" s="19" t="s">
        <v>332</v>
      </c>
      <c r="G105" s="19" t="s">
        <v>333</v>
      </c>
      <c r="H105" s="18" t="s">
        <v>334</v>
      </c>
      <c r="I105" s="52" t="s">
        <v>396</v>
      </c>
      <c r="J105" s="58">
        <v>38.12</v>
      </c>
      <c r="K105" s="18" t="s">
        <v>336</v>
      </c>
      <c r="L105" s="67">
        <v>96</v>
      </c>
      <c r="M105" s="67">
        <f>480-96</f>
        <v>384</v>
      </c>
      <c r="N105" s="19" t="s">
        <v>293</v>
      </c>
    </row>
    <row r="106" ht="40.5" spans="1:14">
      <c r="A106" s="45">
        <v>96</v>
      </c>
      <c r="B106" s="52" t="s">
        <v>397</v>
      </c>
      <c r="C106" s="18" t="s">
        <v>329</v>
      </c>
      <c r="D106" s="53" t="s">
        <v>330</v>
      </c>
      <c r="E106" s="18" t="s">
        <v>398</v>
      </c>
      <c r="F106" s="19" t="s">
        <v>332</v>
      </c>
      <c r="G106" s="19" t="s">
        <v>333</v>
      </c>
      <c r="H106" s="18" t="s">
        <v>334</v>
      </c>
      <c r="I106" s="52" t="s">
        <v>399</v>
      </c>
      <c r="J106" s="58">
        <v>183.82</v>
      </c>
      <c r="K106" s="18" t="s">
        <v>336</v>
      </c>
      <c r="L106" s="67">
        <v>249</v>
      </c>
      <c r="M106" s="67">
        <f>965-249</f>
        <v>716</v>
      </c>
      <c r="N106" s="19" t="s">
        <v>293</v>
      </c>
    </row>
    <row r="107" ht="40.5" spans="1:14">
      <c r="A107" s="45">
        <v>97</v>
      </c>
      <c r="B107" s="52" t="s">
        <v>400</v>
      </c>
      <c r="C107" s="18" t="s">
        <v>329</v>
      </c>
      <c r="D107" s="53" t="s">
        <v>330</v>
      </c>
      <c r="E107" s="18" t="s">
        <v>229</v>
      </c>
      <c r="F107" s="19" t="s">
        <v>332</v>
      </c>
      <c r="G107" s="19" t="s">
        <v>333</v>
      </c>
      <c r="H107" s="18" t="s">
        <v>334</v>
      </c>
      <c r="I107" s="52" t="s">
        <v>401</v>
      </c>
      <c r="J107" s="58">
        <v>181.92</v>
      </c>
      <c r="K107" s="18" t="s">
        <v>336</v>
      </c>
      <c r="L107" s="67">
        <v>272</v>
      </c>
      <c r="M107" s="67">
        <f>872-272</f>
        <v>600</v>
      </c>
      <c r="N107" s="19" t="s">
        <v>293</v>
      </c>
    </row>
    <row r="108" ht="40.5" spans="1:14">
      <c r="A108" s="45">
        <v>98</v>
      </c>
      <c r="B108" s="52" t="s">
        <v>402</v>
      </c>
      <c r="C108" s="18" t="s">
        <v>329</v>
      </c>
      <c r="D108" s="53" t="s">
        <v>330</v>
      </c>
      <c r="E108" s="18" t="s">
        <v>237</v>
      </c>
      <c r="F108" s="19" t="s">
        <v>332</v>
      </c>
      <c r="G108" s="19" t="s">
        <v>333</v>
      </c>
      <c r="H108" s="18" t="s">
        <v>334</v>
      </c>
      <c r="I108" s="52" t="s">
        <v>403</v>
      </c>
      <c r="J108" s="58">
        <v>18</v>
      </c>
      <c r="K108" s="18" t="s">
        <v>336</v>
      </c>
      <c r="L108" s="67">
        <v>55</v>
      </c>
      <c r="M108" s="67">
        <f>174-55</f>
        <v>119</v>
      </c>
      <c r="N108" s="19" t="s">
        <v>293</v>
      </c>
    </row>
    <row r="109" ht="40.5" spans="1:14">
      <c r="A109" s="45">
        <v>99</v>
      </c>
      <c r="B109" s="52" t="s">
        <v>404</v>
      </c>
      <c r="C109" s="18" t="s">
        <v>329</v>
      </c>
      <c r="D109" s="53" t="s">
        <v>330</v>
      </c>
      <c r="E109" s="18" t="s">
        <v>241</v>
      </c>
      <c r="F109" s="19" t="s">
        <v>332</v>
      </c>
      <c r="G109" s="19" t="s">
        <v>333</v>
      </c>
      <c r="H109" s="18" t="s">
        <v>334</v>
      </c>
      <c r="I109" s="52" t="s">
        <v>405</v>
      </c>
      <c r="J109" s="58">
        <v>8</v>
      </c>
      <c r="K109" s="18" t="s">
        <v>336</v>
      </c>
      <c r="L109" s="67">
        <v>11</v>
      </c>
      <c r="M109" s="67">
        <f>82-11</f>
        <v>71</v>
      </c>
      <c r="N109" s="19" t="s">
        <v>293</v>
      </c>
    </row>
    <row r="110" ht="40.5" spans="1:14">
      <c r="A110" s="45">
        <v>100</v>
      </c>
      <c r="B110" s="52" t="s">
        <v>406</v>
      </c>
      <c r="C110" s="18" t="s">
        <v>329</v>
      </c>
      <c r="D110" s="53" t="s">
        <v>330</v>
      </c>
      <c r="E110" s="18" t="s">
        <v>407</v>
      </c>
      <c r="F110" s="19" t="s">
        <v>332</v>
      </c>
      <c r="G110" s="19" t="s">
        <v>333</v>
      </c>
      <c r="H110" s="18" t="s">
        <v>334</v>
      </c>
      <c r="I110" s="52" t="s">
        <v>408</v>
      </c>
      <c r="J110" s="58">
        <v>18.5</v>
      </c>
      <c r="K110" s="18" t="s">
        <v>336</v>
      </c>
      <c r="L110" s="67">
        <v>14</v>
      </c>
      <c r="M110" s="67">
        <f>53-14</f>
        <v>39</v>
      </c>
      <c r="N110" s="19" t="s">
        <v>293</v>
      </c>
    </row>
    <row r="111" ht="40.5" spans="1:14">
      <c r="A111" s="45">
        <v>101</v>
      </c>
      <c r="B111" s="52" t="s">
        <v>409</v>
      </c>
      <c r="C111" s="18" t="s">
        <v>329</v>
      </c>
      <c r="D111" s="53" t="s">
        <v>330</v>
      </c>
      <c r="E111" s="18" t="s">
        <v>410</v>
      </c>
      <c r="F111" s="19" t="s">
        <v>332</v>
      </c>
      <c r="G111" s="19" t="s">
        <v>333</v>
      </c>
      <c r="H111" s="18" t="s">
        <v>334</v>
      </c>
      <c r="I111" s="52" t="s">
        <v>411</v>
      </c>
      <c r="J111" s="58">
        <v>88.42</v>
      </c>
      <c r="K111" s="18" t="s">
        <v>336</v>
      </c>
      <c r="L111" s="67">
        <v>151</v>
      </c>
      <c r="M111" s="67">
        <f>660-151</f>
        <v>509</v>
      </c>
      <c r="N111" s="19" t="s">
        <v>293</v>
      </c>
    </row>
    <row r="112" ht="40.5" spans="1:14">
      <c r="A112" s="45">
        <v>102</v>
      </c>
      <c r="B112" s="52" t="s">
        <v>412</v>
      </c>
      <c r="C112" s="18" t="s">
        <v>329</v>
      </c>
      <c r="D112" s="53" t="s">
        <v>330</v>
      </c>
      <c r="E112" s="18" t="s">
        <v>413</v>
      </c>
      <c r="F112" s="19" t="s">
        <v>332</v>
      </c>
      <c r="G112" s="19" t="s">
        <v>333</v>
      </c>
      <c r="H112" s="18" t="s">
        <v>334</v>
      </c>
      <c r="I112" s="52" t="s">
        <v>414</v>
      </c>
      <c r="J112" s="58">
        <v>136.12</v>
      </c>
      <c r="K112" s="18" t="s">
        <v>336</v>
      </c>
      <c r="L112" s="67">
        <v>169</v>
      </c>
      <c r="M112" s="67">
        <v>1032</v>
      </c>
      <c r="N112" s="19" t="s">
        <v>293</v>
      </c>
    </row>
    <row r="113" ht="40.5" spans="1:14">
      <c r="A113" s="45">
        <v>103</v>
      </c>
      <c r="B113" s="52" t="s">
        <v>415</v>
      </c>
      <c r="C113" s="18" t="s">
        <v>329</v>
      </c>
      <c r="D113" s="53" t="s">
        <v>330</v>
      </c>
      <c r="E113" s="18" t="s">
        <v>413</v>
      </c>
      <c r="F113" s="19" t="s">
        <v>332</v>
      </c>
      <c r="G113" s="19" t="s">
        <v>333</v>
      </c>
      <c r="H113" s="18" t="s">
        <v>334</v>
      </c>
      <c r="I113" s="52" t="s">
        <v>416</v>
      </c>
      <c r="J113" s="58">
        <v>205.23</v>
      </c>
      <c r="K113" s="18" t="s">
        <v>336</v>
      </c>
      <c r="L113" s="67">
        <v>152</v>
      </c>
      <c r="M113" s="67">
        <v>3212</v>
      </c>
      <c r="N113" s="19" t="s">
        <v>293</v>
      </c>
    </row>
    <row r="114" ht="40.5" spans="1:14">
      <c r="A114" s="45">
        <v>104</v>
      </c>
      <c r="B114" s="52" t="s">
        <v>417</v>
      </c>
      <c r="C114" s="18" t="s">
        <v>329</v>
      </c>
      <c r="D114" s="53" t="s">
        <v>330</v>
      </c>
      <c r="E114" s="18" t="s">
        <v>418</v>
      </c>
      <c r="F114" s="19" t="s">
        <v>332</v>
      </c>
      <c r="G114" s="19" t="s">
        <v>333</v>
      </c>
      <c r="H114" s="18" t="s">
        <v>334</v>
      </c>
      <c r="I114" s="52" t="s">
        <v>419</v>
      </c>
      <c r="J114" s="58">
        <v>39.87</v>
      </c>
      <c r="K114" s="18" t="s">
        <v>336</v>
      </c>
      <c r="L114" s="67">
        <v>190</v>
      </c>
      <c r="M114" s="67">
        <f>1420-190</f>
        <v>1230</v>
      </c>
      <c r="N114" s="19" t="s">
        <v>293</v>
      </c>
    </row>
    <row r="115" ht="40.5" spans="1:14">
      <c r="A115" s="45">
        <v>105</v>
      </c>
      <c r="B115" s="52" t="s">
        <v>420</v>
      </c>
      <c r="C115" s="18" t="s">
        <v>329</v>
      </c>
      <c r="D115" s="53" t="s">
        <v>330</v>
      </c>
      <c r="E115" s="18" t="s">
        <v>421</v>
      </c>
      <c r="F115" s="19" t="s">
        <v>332</v>
      </c>
      <c r="G115" s="19" t="s">
        <v>333</v>
      </c>
      <c r="H115" s="18" t="s">
        <v>334</v>
      </c>
      <c r="I115" s="52" t="s">
        <v>422</v>
      </c>
      <c r="J115" s="58">
        <v>17.5</v>
      </c>
      <c r="K115" s="18" t="s">
        <v>336</v>
      </c>
      <c r="L115" s="67">
        <v>13</v>
      </c>
      <c r="M115" s="67">
        <f>178-13</f>
        <v>165</v>
      </c>
      <c r="N115" s="19" t="s">
        <v>293</v>
      </c>
    </row>
    <row r="116" ht="40.5" spans="1:14">
      <c r="A116" s="45">
        <v>106</v>
      </c>
      <c r="B116" s="52" t="s">
        <v>423</v>
      </c>
      <c r="C116" s="18" t="s">
        <v>329</v>
      </c>
      <c r="D116" s="53" t="s">
        <v>330</v>
      </c>
      <c r="E116" s="18" t="s">
        <v>424</v>
      </c>
      <c r="F116" s="19" t="s">
        <v>332</v>
      </c>
      <c r="G116" s="19" t="s">
        <v>333</v>
      </c>
      <c r="H116" s="18" t="s">
        <v>334</v>
      </c>
      <c r="I116" s="52" t="s">
        <v>425</v>
      </c>
      <c r="J116" s="58">
        <v>124.54</v>
      </c>
      <c r="K116" s="18" t="s">
        <v>336</v>
      </c>
      <c r="L116" s="67">
        <v>192</v>
      </c>
      <c r="M116" s="67">
        <f>1047-192</f>
        <v>855</v>
      </c>
      <c r="N116" s="19" t="s">
        <v>293</v>
      </c>
    </row>
    <row r="117" ht="40.5" spans="1:14">
      <c r="A117" s="45">
        <v>107</v>
      </c>
      <c r="B117" s="52" t="s">
        <v>426</v>
      </c>
      <c r="C117" s="18" t="s">
        <v>329</v>
      </c>
      <c r="D117" s="53" t="s">
        <v>330</v>
      </c>
      <c r="E117" s="18" t="s">
        <v>427</v>
      </c>
      <c r="F117" s="19" t="s">
        <v>332</v>
      </c>
      <c r="G117" s="19" t="s">
        <v>333</v>
      </c>
      <c r="H117" s="18" t="s">
        <v>334</v>
      </c>
      <c r="I117" s="52" t="s">
        <v>428</v>
      </c>
      <c r="J117" s="58">
        <v>216.68</v>
      </c>
      <c r="K117" s="18" t="s">
        <v>336</v>
      </c>
      <c r="L117" s="67">
        <v>332</v>
      </c>
      <c r="M117" s="67">
        <f>1650-332</f>
        <v>1318</v>
      </c>
      <c r="N117" s="19" t="s">
        <v>293</v>
      </c>
    </row>
    <row r="118" ht="40.5" spans="1:14">
      <c r="A118" s="45">
        <v>108</v>
      </c>
      <c r="B118" s="52" t="s">
        <v>429</v>
      </c>
      <c r="C118" s="18" t="s">
        <v>329</v>
      </c>
      <c r="D118" s="53" t="s">
        <v>330</v>
      </c>
      <c r="E118" s="18" t="s">
        <v>430</v>
      </c>
      <c r="F118" s="19" t="s">
        <v>332</v>
      </c>
      <c r="G118" s="19" t="s">
        <v>333</v>
      </c>
      <c r="H118" s="18" t="s">
        <v>334</v>
      </c>
      <c r="I118" s="52" t="s">
        <v>431</v>
      </c>
      <c r="J118" s="58">
        <v>109.39</v>
      </c>
      <c r="K118" s="18" t="s">
        <v>336</v>
      </c>
      <c r="L118" s="67">
        <v>269</v>
      </c>
      <c r="M118" s="67">
        <f>850-269</f>
        <v>581</v>
      </c>
      <c r="N118" s="19" t="s">
        <v>293</v>
      </c>
    </row>
    <row r="119" ht="40.5" spans="1:14">
      <c r="A119" s="45">
        <v>109</v>
      </c>
      <c r="B119" s="52" t="s">
        <v>432</v>
      </c>
      <c r="C119" s="18" t="s">
        <v>329</v>
      </c>
      <c r="D119" s="53" t="s">
        <v>330</v>
      </c>
      <c r="E119" s="18" t="s">
        <v>433</v>
      </c>
      <c r="F119" s="19" t="s">
        <v>332</v>
      </c>
      <c r="G119" s="19" t="s">
        <v>333</v>
      </c>
      <c r="H119" s="18" t="s">
        <v>334</v>
      </c>
      <c r="I119" s="52" t="s">
        <v>434</v>
      </c>
      <c r="J119" s="58">
        <v>109.12</v>
      </c>
      <c r="K119" s="18" t="s">
        <v>336</v>
      </c>
      <c r="L119" s="67">
        <v>287</v>
      </c>
      <c r="M119" s="67">
        <f>1350-287</f>
        <v>1063</v>
      </c>
      <c r="N119" s="19" t="s">
        <v>293</v>
      </c>
    </row>
    <row r="120" ht="40.5" spans="1:14">
      <c r="A120" s="45">
        <v>110</v>
      </c>
      <c r="B120" s="52" t="s">
        <v>435</v>
      </c>
      <c r="C120" s="18" t="s">
        <v>329</v>
      </c>
      <c r="D120" s="53" t="s">
        <v>330</v>
      </c>
      <c r="E120" s="18" t="s">
        <v>436</v>
      </c>
      <c r="F120" s="19" t="s">
        <v>332</v>
      </c>
      <c r="G120" s="19" t="s">
        <v>333</v>
      </c>
      <c r="H120" s="18" t="s">
        <v>334</v>
      </c>
      <c r="I120" s="52" t="s">
        <v>437</v>
      </c>
      <c r="J120" s="58">
        <v>98.72</v>
      </c>
      <c r="K120" s="18" t="s">
        <v>336</v>
      </c>
      <c r="L120" s="67">
        <v>276</v>
      </c>
      <c r="M120" s="67">
        <f>997-276</f>
        <v>721</v>
      </c>
      <c r="N120" s="19" t="s">
        <v>293</v>
      </c>
    </row>
    <row r="121" ht="40.5" spans="1:14">
      <c r="A121" s="45">
        <v>111</v>
      </c>
      <c r="B121" s="52" t="s">
        <v>438</v>
      </c>
      <c r="C121" s="18" t="s">
        <v>329</v>
      </c>
      <c r="D121" s="53" t="s">
        <v>330</v>
      </c>
      <c r="E121" s="18" t="s">
        <v>439</v>
      </c>
      <c r="F121" s="19" t="s">
        <v>332</v>
      </c>
      <c r="G121" s="19" t="s">
        <v>333</v>
      </c>
      <c r="H121" s="18" t="s">
        <v>334</v>
      </c>
      <c r="I121" s="52" t="s">
        <v>440</v>
      </c>
      <c r="J121" s="58">
        <v>109.12</v>
      </c>
      <c r="K121" s="18" t="s">
        <v>336</v>
      </c>
      <c r="L121" s="67">
        <v>226</v>
      </c>
      <c r="M121" s="67">
        <f>850-226</f>
        <v>624</v>
      </c>
      <c r="N121" s="19" t="s">
        <v>293</v>
      </c>
    </row>
    <row r="122" ht="40.5" spans="1:14">
      <c r="A122" s="45">
        <v>112</v>
      </c>
      <c r="B122" s="52" t="s">
        <v>441</v>
      </c>
      <c r="C122" s="18" t="s">
        <v>329</v>
      </c>
      <c r="D122" s="53" t="s">
        <v>330</v>
      </c>
      <c r="E122" s="18" t="s">
        <v>442</v>
      </c>
      <c r="F122" s="19" t="s">
        <v>332</v>
      </c>
      <c r="G122" s="19" t="s">
        <v>333</v>
      </c>
      <c r="H122" s="18" t="s">
        <v>334</v>
      </c>
      <c r="I122" s="52" t="s">
        <v>443</v>
      </c>
      <c r="J122" s="58">
        <v>115.02</v>
      </c>
      <c r="K122" s="18" t="s">
        <v>336</v>
      </c>
      <c r="L122" s="67">
        <v>272</v>
      </c>
      <c r="M122" s="67">
        <f>828-272</f>
        <v>556</v>
      </c>
      <c r="N122" s="19" t="s">
        <v>293</v>
      </c>
    </row>
    <row r="123" ht="40.5" spans="1:14">
      <c r="A123" s="45">
        <v>113</v>
      </c>
      <c r="B123" s="52" t="s">
        <v>444</v>
      </c>
      <c r="C123" s="18" t="s">
        <v>329</v>
      </c>
      <c r="D123" s="53" t="s">
        <v>330</v>
      </c>
      <c r="E123" s="18" t="s">
        <v>445</v>
      </c>
      <c r="F123" s="19" t="s">
        <v>332</v>
      </c>
      <c r="G123" s="19" t="s">
        <v>333</v>
      </c>
      <c r="H123" s="18" t="s">
        <v>334</v>
      </c>
      <c r="I123" s="52" t="s">
        <v>446</v>
      </c>
      <c r="J123" s="58">
        <v>30.2</v>
      </c>
      <c r="K123" s="18" t="s">
        <v>336</v>
      </c>
      <c r="L123" s="67">
        <v>62</v>
      </c>
      <c r="M123" s="67">
        <f>610-62</f>
        <v>548</v>
      </c>
      <c r="N123" s="19" t="s">
        <v>293</v>
      </c>
    </row>
    <row r="124" ht="40.5" spans="1:14">
      <c r="A124" s="45">
        <v>114</v>
      </c>
      <c r="B124" s="52" t="s">
        <v>447</v>
      </c>
      <c r="C124" s="18" t="s">
        <v>329</v>
      </c>
      <c r="D124" s="53" t="s">
        <v>330</v>
      </c>
      <c r="E124" s="18" t="s">
        <v>448</v>
      </c>
      <c r="F124" s="19" t="s">
        <v>332</v>
      </c>
      <c r="G124" s="19" t="s">
        <v>333</v>
      </c>
      <c r="H124" s="18" t="s">
        <v>334</v>
      </c>
      <c r="I124" s="52" t="s">
        <v>449</v>
      </c>
      <c r="J124" s="58">
        <v>50.12</v>
      </c>
      <c r="K124" s="18" t="s">
        <v>336</v>
      </c>
      <c r="L124" s="67">
        <v>130</v>
      </c>
      <c r="M124" s="67">
        <v>174</v>
      </c>
      <c r="N124" s="19" t="s">
        <v>293</v>
      </c>
    </row>
    <row r="125" ht="40.5" spans="1:14">
      <c r="A125" s="45">
        <v>115</v>
      </c>
      <c r="B125" s="52" t="s">
        <v>450</v>
      </c>
      <c r="C125" s="18" t="s">
        <v>329</v>
      </c>
      <c r="D125" s="53" t="s">
        <v>330</v>
      </c>
      <c r="E125" s="18" t="s">
        <v>451</v>
      </c>
      <c r="F125" s="19" t="s">
        <v>332</v>
      </c>
      <c r="G125" s="19" t="s">
        <v>333</v>
      </c>
      <c r="H125" s="18" t="s">
        <v>334</v>
      </c>
      <c r="I125" s="52" t="s">
        <v>452</v>
      </c>
      <c r="J125" s="58">
        <v>52.12</v>
      </c>
      <c r="K125" s="18" t="s">
        <v>336</v>
      </c>
      <c r="L125" s="67">
        <v>36</v>
      </c>
      <c r="M125" s="67">
        <f>285-36</f>
        <v>249</v>
      </c>
      <c r="N125" s="19" t="s">
        <v>293</v>
      </c>
    </row>
    <row r="126" ht="40.5" spans="1:14">
      <c r="A126" s="45">
        <v>116</v>
      </c>
      <c r="B126" s="52" t="s">
        <v>453</v>
      </c>
      <c r="C126" s="18" t="s">
        <v>329</v>
      </c>
      <c r="D126" s="53" t="s">
        <v>330</v>
      </c>
      <c r="E126" s="18" t="s">
        <v>454</v>
      </c>
      <c r="F126" s="19" t="s">
        <v>332</v>
      </c>
      <c r="G126" s="19" t="s">
        <v>333</v>
      </c>
      <c r="H126" s="18" t="s">
        <v>334</v>
      </c>
      <c r="I126" s="52" t="s">
        <v>455</v>
      </c>
      <c r="J126" s="58">
        <v>22.99</v>
      </c>
      <c r="K126" s="18" t="s">
        <v>336</v>
      </c>
      <c r="L126" s="67">
        <v>112</v>
      </c>
      <c r="M126" s="67">
        <f>679-112</f>
        <v>567</v>
      </c>
      <c r="N126" s="19" t="s">
        <v>293</v>
      </c>
    </row>
    <row r="127" ht="40.5" spans="1:14">
      <c r="A127" s="45">
        <v>117</v>
      </c>
      <c r="B127" s="52" t="s">
        <v>456</v>
      </c>
      <c r="C127" s="18" t="s">
        <v>329</v>
      </c>
      <c r="D127" s="53" t="s">
        <v>330</v>
      </c>
      <c r="E127" s="18" t="s">
        <v>457</v>
      </c>
      <c r="F127" s="19" t="s">
        <v>332</v>
      </c>
      <c r="G127" s="19" t="s">
        <v>333</v>
      </c>
      <c r="H127" s="18" t="s">
        <v>334</v>
      </c>
      <c r="I127" s="52" t="s">
        <v>458</v>
      </c>
      <c r="J127" s="58">
        <v>48.12</v>
      </c>
      <c r="K127" s="18" t="s">
        <v>336</v>
      </c>
      <c r="L127" s="67">
        <v>53</v>
      </c>
      <c r="M127" s="67">
        <f>319-53</f>
        <v>266</v>
      </c>
      <c r="N127" s="19" t="s">
        <v>293</v>
      </c>
    </row>
    <row r="128" ht="40.5" spans="1:14">
      <c r="A128" s="45">
        <v>118</v>
      </c>
      <c r="B128" s="52" t="s">
        <v>459</v>
      </c>
      <c r="C128" s="18" t="s">
        <v>329</v>
      </c>
      <c r="D128" s="53" t="s">
        <v>330</v>
      </c>
      <c r="E128" s="18" t="s">
        <v>460</v>
      </c>
      <c r="F128" s="19" t="s">
        <v>332</v>
      </c>
      <c r="G128" s="19" t="s">
        <v>333</v>
      </c>
      <c r="H128" s="18" t="s">
        <v>334</v>
      </c>
      <c r="I128" s="52" t="s">
        <v>461</v>
      </c>
      <c r="J128" s="58">
        <v>371.12</v>
      </c>
      <c r="K128" s="18" t="s">
        <v>336</v>
      </c>
      <c r="L128" s="67">
        <v>184</v>
      </c>
      <c r="M128" s="67">
        <v>1839</v>
      </c>
      <c r="N128" s="19" t="s">
        <v>293</v>
      </c>
    </row>
    <row r="129" ht="94.5" spans="1:14">
      <c r="A129" s="45">
        <v>119</v>
      </c>
      <c r="B129" s="68" t="s">
        <v>462</v>
      </c>
      <c r="C129" s="69" t="s">
        <v>274</v>
      </c>
      <c r="D129" s="70" t="s">
        <v>23</v>
      </c>
      <c r="E129" s="68" t="s">
        <v>463</v>
      </c>
      <c r="F129" s="71" t="s">
        <v>289</v>
      </c>
      <c r="G129" s="71" t="s">
        <v>290</v>
      </c>
      <c r="H129" s="68" t="s">
        <v>221</v>
      </c>
      <c r="I129" s="79" t="s">
        <v>464</v>
      </c>
      <c r="J129" s="68">
        <v>88</v>
      </c>
      <c r="K129" s="80" t="s">
        <v>292</v>
      </c>
      <c r="L129" s="81">
        <v>122</v>
      </c>
      <c r="M129" s="82">
        <f>1500-122</f>
        <v>1378</v>
      </c>
      <c r="N129" s="83" t="s">
        <v>293</v>
      </c>
    </row>
    <row r="130" ht="40.5" spans="1:14">
      <c r="A130" s="45">
        <v>120</v>
      </c>
      <c r="B130" s="72" t="s">
        <v>465</v>
      </c>
      <c r="C130" s="69" t="s">
        <v>274</v>
      </c>
      <c r="D130" s="69" t="s">
        <v>23</v>
      </c>
      <c r="E130" s="73" t="s">
        <v>466</v>
      </c>
      <c r="F130" s="71" t="s">
        <v>289</v>
      </c>
      <c r="G130" s="71" t="s">
        <v>290</v>
      </c>
      <c r="H130" s="73" t="s">
        <v>466</v>
      </c>
      <c r="I130" s="84" t="s">
        <v>327</v>
      </c>
      <c r="J130" s="85">
        <v>19</v>
      </c>
      <c r="K130" s="69" t="s">
        <v>292</v>
      </c>
      <c r="L130" s="86">
        <v>21</v>
      </c>
      <c r="M130" s="87">
        <f>230-21</f>
        <v>209</v>
      </c>
      <c r="N130" s="83" t="s">
        <v>293</v>
      </c>
    </row>
    <row r="131" ht="40.5" spans="1:14">
      <c r="A131" s="45">
        <v>121</v>
      </c>
      <c r="B131" s="74" t="s">
        <v>467</v>
      </c>
      <c r="C131" s="69" t="s">
        <v>274</v>
      </c>
      <c r="D131" s="69" t="s">
        <v>23</v>
      </c>
      <c r="E131" s="73" t="s">
        <v>468</v>
      </c>
      <c r="F131" s="71" t="s">
        <v>289</v>
      </c>
      <c r="G131" s="71" t="s">
        <v>290</v>
      </c>
      <c r="H131" s="73" t="s">
        <v>468</v>
      </c>
      <c r="I131" s="84" t="s">
        <v>469</v>
      </c>
      <c r="J131" s="88">
        <v>26</v>
      </c>
      <c r="K131" s="69" t="s">
        <v>292</v>
      </c>
      <c r="L131" s="86">
        <v>15</v>
      </c>
      <c r="M131" s="87">
        <f>165-15</f>
        <v>150</v>
      </c>
      <c r="N131" s="83" t="s">
        <v>293</v>
      </c>
    </row>
    <row r="132" ht="40.5" spans="1:14">
      <c r="A132" s="45">
        <v>122</v>
      </c>
      <c r="B132" s="74" t="s">
        <v>470</v>
      </c>
      <c r="C132" s="69" t="s">
        <v>274</v>
      </c>
      <c r="D132" s="69" t="s">
        <v>287</v>
      </c>
      <c r="E132" s="75" t="s">
        <v>471</v>
      </c>
      <c r="F132" s="71" t="s">
        <v>289</v>
      </c>
      <c r="G132" s="71" t="s">
        <v>290</v>
      </c>
      <c r="H132" s="75" t="s">
        <v>471</v>
      </c>
      <c r="I132" s="84" t="s">
        <v>324</v>
      </c>
      <c r="J132" s="88">
        <v>12</v>
      </c>
      <c r="K132" s="69" t="s">
        <v>292</v>
      </c>
      <c r="L132" s="86">
        <v>12</v>
      </c>
      <c r="M132" s="87">
        <f>102-12</f>
        <v>90</v>
      </c>
      <c r="N132" s="83" t="s">
        <v>293</v>
      </c>
    </row>
    <row r="133" ht="40.5" spans="1:14">
      <c r="A133" s="45">
        <v>123</v>
      </c>
      <c r="B133" s="74" t="s">
        <v>472</v>
      </c>
      <c r="C133" s="69" t="s">
        <v>274</v>
      </c>
      <c r="D133" s="69" t="s">
        <v>473</v>
      </c>
      <c r="E133" s="75" t="s">
        <v>474</v>
      </c>
      <c r="F133" s="71" t="s">
        <v>289</v>
      </c>
      <c r="G133" s="71" t="s">
        <v>290</v>
      </c>
      <c r="H133" s="75" t="s">
        <v>326</v>
      </c>
      <c r="I133" s="84" t="s">
        <v>475</v>
      </c>
      <c r="J133" s="88">
        <v>2</v>
      </c>
      <c r="K133" s="69" t="s">
        <v>292</v>
      </c>
      <c r="L133" s="86">
        <v>9</v>
      </c>
      <c r="M133" s="87">
        <f>55-9</f>
        <v>46</v>
      </c>
      <c r="N133" s="83" t="s">
        <v>293</v>
      </c>
    </row>
    <row r="134" ht="40.5" spans="1:14">
      <c r="A134" s="45">
        <v>124</v>
      </c>
      <c r="B134" s="74" t="s">
        <v>476</v>
      </c>
      <c r="C134" s="69" t="s">
        <v>274</v>
      </c>
      <c r="D134" s="69" t="s">
        <v>23</v>
      </c>
      <c r="E134" s="75" t="s">
        <v>186</v>
      </c>
      <c r="F134" s="71" t="s">
        <v>289</v>
      </c>
      <c r="G134" s="71" t="s">
        <v>290</v>
      </c>
      <c r="H134" s="75" t="s">
        <v>477</v>
      </c>
      <c r="I134" s="89" t="s">
        <v>478</v>
      </c>
      <c r="J134" s="88">
        <v>25.19</v>
      </c>
      <c r="K134" s="69" t="s">
        <v>292</v>
      </c>
      <c r="L134" s="86">
        <v>112</v>
      </c>
      <c r="M134" s="87">
        <f>860-112</f>
        <v>748</v>
      </c>
      <c r="N134" s="83" t="s">
        <v>293</v>
      </c>
    </row>
    <row r="135" ht="40.5" spans="1:14">
      <c r="A135" s="45">
        <v>125</v>
      </c>
      <c r="B135" s="74" t="s">
        <v>479</v>
      </c>
      <c r="C135" s="69" t="s">
        <v>274</v>
      </c>
      <c r="D135" s="69" t="s">
        <v>23</v>
      </c>
      <c r="E135" s="75" t="s">
        <v>480</v>
      </c>
      <c r="F135" s="71" t="s">
        <v>289</v>
      </c>
      <c r="G135" s="71" t="s">
        <v>290</v>
      </c>
      <c r="H135" s="76" t="s">
        <v>481</v>
      </c>
      <c r="I135" s="89" t="s">
        <v>478</v>
      </c>
      <c r="J135" s="88">
        <v>13.69</v>
      </c>
      <c r="K135" s="69" t="s">
        <v>292</v>
      </c>
      <c r="L135" s="86">
        <v>6</v>
      </c>
      <c r="M135" s="87">
        <f>85-6</f>
        <v>79</v>
      </c>
      <c r="N135" s="83" t="s">
        <v>293</v>
      </c>
    </row>
    <row r="136" ht="40.5" spans="1:14">
      <c r="A136" s="45">
        <v>126</v>
      </c>
      <c r="B136" s="74" t="s">
        <v>482</v>
      </c>
      <c r="C136" s="69" t="s">
        <v>274</v>
      </c>
      <c r="D136" s="69" t="s">
        <v>23</v>
      </c>
      <c r="E136" s="75" t="s">
        <v>182</v>
      </c>
      <c r="F136" s="71" t="s">
        <v>289</v>
      </c>
      <c r="G136" s="71" t="s">
        <v>290</v>
      </c>
      <c r="H136" s="75" t="s">
        <v>182</v>
      </c>
      <c r="I136" s="89" t="s">
        <v>478</v>
      </c>
      <c r="J136" s="88">
        <v>25.28</v>
      </c>
      <c r="K136" s="69" t="s">
        <v>292</v>
      </c>
      <c r="L136" s="86">
        <v>37</v>
      </c>
      <c r="M136" s="87">
        <f>310-37</f>
        <v>273</v>
      </c>
      <c r="N136" s="83" t="s">
        <v>293</v>
      </c>
    </row>
    <row r="137" ht="40.5" spans="1:14">
      <c r="A137" s="45">
        <v>141</v>
      </c>
      <c r="B137" s="52" t="s">
        <v>483</v>
      </c>
      <c r="C137" s="18" t="s">
        <v>329</v>
      </c>
      <c r="D137" s="53" t="s">
        <v>330</v>
      </c>
      <c r="E137" s="18" t="s">
        <v>484</v>
      </c>
      <c r="F137" s="19" t="s">
        <v>332</v>
      </c>
      <c r="G137" s="19" t="s">
        <v>333</v>
      </c>
      <c r="H137" s="31" t="s">
        <v>334</v>
      </c>
      <c r="I137" s="52" t="s">
        <v>485</v>
      </c>
      <c r="J137" s="58">
        <v>46.7317695308283</v>
      </c>
      <c r="K137" s="18" t="s">
        <v>336</v>
      </c>
      <c r="L137" s="67">
        <v>369</v>
      </c>
      <c r="M137" s="67">
        <f>1531-369</f>
        <v>1162</v>
      </c>
      <c r="N137" s="19" t="s">
        <v>293</v>
      </c>
    </row>
    <row r="138" ht="40.5" spans="1:14">
      <c r="A138" s="45">
        <v>142</v>
      </c>
      <c r="B138" s="52" t="s">
        <v>486</v>
      </c>
      <c r="C138" s="18" t="s">
        <v>329</v>
      </c>
      <c r="D138" s="53" t="s">
        <v>330</v>
      </c>
      <c r="E138" s="18" t="s">
        <v>487</v>
      </c>
      <c r="F138" s="19" t="s">
        <v>332</v>
      </c>
      <c r="G138" s="19" t="s">
        <v>333</v>
      </c>
      <c r="H138" s="31" t="s">
        <v>334</v>
      </c>
      <c r="I138" s="52" t="s">
        <v>488</v>
      </c>
      <c r="J138" s="58">
        <v>27.5587177459676</v>
      </c>
      <c r="K138" s="18" t="s">
        <v>336</v>
      </c>
      <c r="L138" s="67">
        <v>185</v>
      </c>
      <c r="M138" s="67">
        <f>538-185</f>
        <v>353</v>
      </c>
      <c r="N138" s="19" t="s">
        <v>293</v>
      </c>
    </row>
    <row r="139" ht="40.5" spans="1:14">
      <c r="A139" s="45">
        <v>143</v>
      </c>
      <c r="B139" s="52" t="s">
        <v>489</v>
      </c>
      <c r="C139" s="18" t="s">
        <v>329</v>
      </c>
      <c r="D139" s="53" t="s">
        <v>330</v>
      </c>
      <c r="E139" s="18" t="s">
        <v>490</v>
      </c>
      <c r="F139" s="19" t="s">
        <v>332</v>
      </c>
      <c r="G139" s="19" t="s">
        <v>333</v>
      </c>
      <c r="H139" s="31" t="s">
        <v>334</v>
      </c>
      <c r="I139" s="52" t="s">
        <v>491</v>
      </c>
      <c r="J139" s="58">
        <v>25.6047761627971</v>
      </c>
      <c r="K139" s="18" t="s">
        <v>336</v>
      </c>
      <c r="L139" s="67">
        <v>212</v>
      </c>
      <c r="M139" s="67">
        <f>974-212</f>
        <v>762</v>
      </c>
      <c r="N139" s="19" t="s">
        <v>293</v>
      </c>
    </row>
    <row r="140" ht="40.5" spans="1:14">
      <c r="A140" s="45">
        <v>144</v>
      </c>
      <c r="B140" s="52" t="s">
        <v>492</v>
      </c>
      <c r="C140" s="18" t="s">
        <v>329</v>
      </c>
      <c r="D140" s="53" t="s">
        <v>330</v>
      </c>
      <c r="E140" s="18" t="s">
        <v>493</v>
      </c>
      <c r="F140" s="19" t="s">
        <v>332</v>
      </c>
      <c r="G140" s="19" t="s">
        <v>333</v>
      </c>
      <c r="H140" s="31" t="s">
        <v>334</v>
      </c>
      <c r="I140" s="52" t="s">
        <v>494</v>
      </c>
      <c r="J140" s="58">
        <v>58.116193060551</v>
      </c>
      <c r="K140" s="18" t="s">
        <v>336</v>
      </c>
      <c r="L140" s="67">
        <v>194</v>
      </c>
      <c r="M140" s="67">
        <f>2018-194</f>
        <v>1824</v>
      </c>
      <c r="N140" s="19" t="s">
        <v>293</v>
      </c>
    </row>
    <row r="141" ht="40.5" spans="1:14">
      <c r="A141" s="45">
        <v>145</v>
      </c>
      <c r="B141" s="52" t="s">
        <v>495</v>
      </c>
      <c r="C141" s="18" t="s">
        <v>329</v>
      </c>
      <c r="D141" s="53" t="s">
        <v>330</v>
      </c>
      <c r="E141" s="18" t="s">
        <v>496</v>
      </c>
      <c r="F141" s="19" t="s">
        <v>332</v>
      </c>
      <c r="G141" s="19" t="s">
        <v>333</v>
      </c>
      <c r="H141" s="31" t="s">
        <v>334</v>
      </c>
      <c r="I141" s="52" t="s">
        <v>497</v>
      </c>
      <c r="J141" s="58">
        <v>24.6617279681418</v>
      </c>
      <c r="K141" s="18" t="s">
        <v>336</v>
      </c>
      <c r="L141" s="67">
        <v>233</v>
      </c>
      <c r="M141" s="67">
        <f>2040-233</f>
        <v>1807</v>
      </c>
      <c r="N141" s="19" t="s">
        <v>293</v>
      </c>
    </row>
    <row r="142" ht="40.5" spans="1:14">
      <c r="A142" s="45">
        <v>156</v>
      </c>
      <c r="B142" s="68" t="s">
        <v>498</v>
      </c>
      <c r="C142" s="69" t="s">
        <v>274</v>
      </c>
      <c r="D142" s="69" t="s">
        <v>287</v>
      </c>
      <c r="E142" s="68" t="s">
        <v>499</v>
      </c>
      <c r="F142" s="71" t="s">
        <v>289</v>
      </c>
      <c r="G142" s="71" t="s">
        <v>290</v>
      </c>
      <c r="H142" s="68" t="s">
        <v>499</v>
      </c>
      <c r="I142" s="79" t="s">
        <v>327</v>
      </c>
      <c r="J142" s="68">
        <v>79.21</v>
      </c>
      <c r="K142" s="80" t="s">
        <v>292</v>
      </c>
      <c r="L142" s="90">
        <v>50</v>
      </c>
      <c r="M142" s="91">
        <f>722-50</f>
        <v>672</v>
      </c>
      <c r="N142" s="83" t="s">
        <v>293</v>
      </c>
    </row>
    <row r="143" ht="40.5" spans="1:14">
      <c r="A143" s="45">
        <v>157</v>
      </c>
      <c r="B143" s="68" t="s">
        <v>500</v>
      </c>
      <c r="C143" s="69" t="s">
        <v>274</v>
      </c>
      <c r="D143" s="69" t="s">
        <v>287</v>
      </c>
      <c r="E143" s="68" t="s">
        <v>501</v>
      </c>
      <c r="F143" s="71" t="s">
        <v>289</v>
      </c>
      <c r="G143" s="71" t="s">
        <v>290</v>
      </c>
      <c r="H143" s="68" t="s">
        <v>502</v>
      </c>
      <c r="I143" s="79" t="s">
        <v>327</v>
      </c>
      <c r="J143" s="68">
        <v>40</v>
      </c>
      <c r="K143" s="80" t="s">
        <v>292</v>
      </c>
      <c r="L143" s="90">
        <v>11</v>
      </c>
      <c r="M143" s="91">
        <f>140-11</f>
        <v>129</v>
      </c>
      <c r="N143" s="83" t="s">
        <v>293</v>
      </c>
    </row>
    <row r="144" ht="40.5" spans="1:14">
      <c r="A144" s="45">
        <v>158</v>
      </c>
      <c r="B144" s="68" t="s">
        <v>503</v>
      </c>
      <c r="C144" s="69" t="s">
        <v>274</v>
      </c>
      <c r="D144" s="69" t="s">
        <v>287</v>
      </c>
      <c r="E144" s="68" t="s">
        <v>504</v>
      </c>
      <c r="F144" s="71" t="s">
        <v>289</v>
      </c>
      <c r="G144" s="71" t="s">
        <v>290</v>
      </c>
      <c r="H144" s="68" t="s">
        <v>505</v>
      </c>
      <c r="I144" s="79" t="s">
        <v>327</v>
      </c>
      <c r="J144" s="68">
        <v>26</v>
      </c>
      <c r="K144" s="80" t="s">
        <v>292</v>
      </c>
      <c r="L144" s="90">
        <v>20</v>
      </c>
      <c r="M144" s="91">
        <f>220-20</f>
        <v>200</v>
      </c>
      <c r="N144" s="83" t="s">
        <v>293</v>
      </c>
    </row>
    <row r="145" ht="40.5" spans="1:14">
      <c r="A145" s="45">
        <v>159</v>
      </c>
      <c r="B145" s="68" t="s">
        <v>506</v>
      </c>
      <c r="C145" s="69" t="s">
        <v>274</v>
      </c>
      <c r="D145" s="69" t="s">
        <v>287</v>
      </c>
      <c r="E145" s="68" t="s">
        <v>507</v>
      </c>
      <c r="F145" s="71" t="s">
        <v>289</v>
      </c>
      <c r="G145" s="71" t="s">
        <v>290</v>
      </c>
      <c r="H145" s="68" t="s">
        <v>507</v>
      </c>
      <c r="I145" s="79" t="s">
        <v>327</v>
      </c>
      <c r="J145" s="68">
        <v>95</v>
      </c>
      <c r="K145" s="80" t="s">
        <v>292</v>
      </c>
      <c r="L145" s="90">
        <v>101</v>
      </c>
      <c r="M145" s="91">
        <f>1177-101</f>
        <v>1076</v>
      </c>
      <c r="N145" s="83" t="s">
        <v>293</v>
      </c>
    </row>
    <row r="146" ht="40.5" spans="1:14">
      <c r="A146" s="45">
        <v>160</v>
      </c>
      <c r="B146" s="68" t="s">
        <v>508</v>
      </c>
      <c r="C146" s="69" t="s">
        <v>274</v>
      </c>
      <c r="D146" s="70" t="s">
        <v>23</v>
      </c>
      <c r="E146" s="68" t="s">
        <v>509</v>
      </c>
      <c r="F146" s="71" t="s">
        <v>289</v>
      </c>
      <c r="G146" s="71" t="s">
        <v>290</v>
      </c>
      <c r="H146" s="68" t="s">
        <v>509</v>
      </c>
      <c r="I146" s="79" t="s">
        <v>327</v>
      </c>
      <c r="J146" s="68">
        <v>19</v>
      </c>
      <c r="K146" s="80" t="s">
        <v>292</v>
      </c>
      <c r="L146" s="90">
        <v>9</v>
      </c>
      <c r="M146" s="91">
        <f>110-9</f>
        <v>101</v>
      </c>
      <c r="N146" s="83" t="s">
        <v>293</v>
      </c>
    </row>
    <row r="147" ht="40.5" spans="1:14">
      <c r="A147" s="45">
        <v>161</v>
      </c>
      <c r="B147" s="68" t="s">
        <v>510</v>
      </c>
      <c r="C147" s="69" t="s">
        <v>274</v>
      </c>
      <c r="D147" s="69" t="s">
        <v>287</v>
      </c>
      <c r="E147" s="68" t="s">
        <v>203</v>
      </c>
      <c r="F147" s="71" t="s">
        <v>289</v>
      </c>
      <c r="G147" s="71" t="s">
        <v>290</v>
      </c>
      <c r="H147" s="68" t="s">
        <v>203</v>
      </c>
      <c r="I147" s="79" t="s">
        <v>327</v>
      </c>
      <c r="J147" s="68">
        <v>39</v>
      </c>
      <c r="K147" s="80" t="s">
        <v>292</v>
      </c>
      <c r="L147" s="81">
        <v>51</v>
      </c>
      <c r="M147" s="91">
        <f>1979-51</f>
        <v>1928</v>
      </c>
      <c r="N147" s="83" t="s">
        <v>293</v>
      </c>
    </row>
    <row r="148" ht="40.5" spans="1:14">
      <c r="A148" s="45">
        <v>162</v>
      </c>
      <c r="B148" s="68" t="s">
        <v>511</v>
      </c>
      <c r="C148" s="69" t="s">
        <v>274</v>
      </c>
      <c r="D148" s="70" t="s">
        <v>23</v>
      </c>
      <c r="E148" s="68" t="s">
        <v>512</v>
      </c>
      <c r="F148" s="71" t="s">
        <v>289</v>
      </c>
      <c r="G148" s="71" t="s">
        <v>290</v>
      </c>
      <c r="H148" s="68" t="s">
        <v>512</v>
      </c>
      <c r="I148" s="79" t="s">
        <v>327</v>
      </c>
      <c r="J148" s="68">
        <v>25</v>
      </c>
      <c r="K148" s="80" t="s">
        <v>292</v>
      </c>
      <c r="L148" s="81">
        <v>29</v>
      </c>
      <c r="M148" s="82">
        <f>208-29</f>
        <v>179</v>
      </c>
      <c r="N148" s="83" t="s">
        <v>293</v>
      </c>
    </row>
    <row r="149" ht="40.5" spans="1:14">
      <c r="A149" s="45">
        <v>163</v>
      </c>
      <c r="B149" s="68" t="s">
        <v>513</v>
      </c>
      <c r="C149" s="69" t="s">
        <v>274</v>
      </c>
      <c r="D149" s="69" t="s">
        <v>287</v>
      </c>
      <c r="E149" s="68" t="s">
        <v>514</v>
      </c>
      <c r="F149" s="71" t="s">
        <v>289</v>
      </c>
      <c r="G149" s="71" t="s">
        <v>290</v>
      </c>
      <c r="H149" s="68" t="s">
        <v>514</v>
      </c>
      <c r="I149" s="79" t="s">
        <v>327</v>
      </c>
      <c r="J149" s="68">
        <v>75</v>
      </c>
      <c r="K149" s="80" t="s">
        <v>292</v>
      </c>
      <c r="L149" s="81">
        <v>106</v>
      </c>
      <c r="M149" s="82">
        <f>1020-106</f>
        <v>914</v>
      </c>
      <c r="N149" s="83" t="s">
        <v>293</v>
      </c>
    </row>
    <row r="150" ht="40.5" spans="1:14">
      <c r="A150" s="45">
        <v>164</v>
      </c>
      <c r="B150" s="68" t="s">
        <v>515</v>
      </c>
      <c r="C150" s="69" t="s">
        <v>274</v>
      </c>
      <c r="D150" s="70" t="s">
        <v>23</v>
      </c>
      <c r="E150" s="68" t="s">
        <v>516</v>
      </c>
      <c r="F150" s="71" t="s">
        <v>289</v>
      </c>
      <c r="G150" s="71" t="s">
        <v>290</v>
      </c>
      <c r="H150" s="68" t="s">
        <v>517</v>
      </c>
      <c r="I150" s="79" t="s">
        <v>327</v>
      </c>
      <c r="J150" s="68">
        <v>41</v>
      </c>
      <c r="K150" s="80" t="s">
        <v>292</v>
      </c>
      <c r="L150" s="81">
        <v>20</v>
      </c>
      <c r="M150" s="82">
        <f>310-20</f>
        <v>290</v>
      </c>
      <c r="N150" s="83" t="s">
        <v>293</v>
      </c>
    </row>
    <row r="151" ht="40.5" spans="1:14">
      <c r="A151" s="45">
        <v>165</v>
      </c>
      <c r="B151" s="68" t="s">
        <v>518</v>
      </c>
      <c r="C151" s="69" t="s">
        <v>274</v>
      </c>
      <c r="D151" s="70" t="s">
        <v>23</v>
      </c>
      <c r="E151" s="68" t="s">
        <v>519</v>
      </c>
      <c r="F151" s="71" t="s">
        <v>289</v>
      </c>
      <c r="G151" s="71" t="s">
        <v>290</v>
      </c>
      <c r="H151" s="68" t="s">
        <v>113</v>
      </c>
      <c r="I151" s="79" t="s">
        <v>327</v>
      </c>
      <c r="J151" s="68">
        <v>30</v>
      </c>
      <c r="K151" s="80" t="s">
        <v>292</v>
      </c>
      <c r="L151" s="81">
        <v>15</v>
      </c>
      <c r="M151" s="82">
        <f>137-15</f>
        <v>122</v>
      </c>
      <c r="N151" s="83" t="s">
        <v>293</v>
      </c>
    </row>
    <row r="152" ht="94.5" spans="1:14">
      <c r="A152" s="45">
        <v>166</v>
      </c>
      <c r="B152" s="68" t="s">
        <v>520</v>
      </c>
      <c r="C152" s="69" t="s">
        <v>274</v>
      </c>
      <c r="D152" s="70" t="s">
        <v>23</v>
      </c>
      <c r="E152" s="68" t="s">
        <v>521</v>
      </c>
      <c r="F152" s="71" t="s">
        <v>289</v>
      </c>
      <c r="G152" s="71" t="s">
        <v>290</v>
      </c>
      <c r="H152" s="68" t="s">
        <v>522</v>
      </c>
      <c r="I152" s="79" t="s">
        <v>327</v>
      </c>
      <c r="J152" s="68">
        <v>35</v>
      </c>
      <c r="K152" s="80" t="s">
        <v>292</v>
      </c>
      <c r="L152" s="81">
        <v>92</v>
      </c>
      <c r="M152" s="82">
        <f>752-92</f>
        <v>660</v>
      </c>
      <c r="N152" s="83" t="s">
        <v>293</v>
      </c>
    </row>
    <row r="153" s="1" customFormat="1" ht="33" customHeight="1" spans="1:14">
      <c r="A153" s="45"/>
      <c r="B153" s="41" t="s">
        <v>523</v>
      </c>
      <c r="C153" s="42"/>
      <c r="D153" s="42"/>
      <c r="E153" s="42"/>
      <c r="F153" s="42"/>
      <c r="G153" s="43"/>
      <c r="H153" s="38"/>
      <c r="I153" s="92"/>
      <c r="J153" s="56">
        <f t="shared" ref="J153:M153" si="0">SUM(J154:J160)</f>
        <v>183.870222222222</v>
      </c>
      <c r="K153" s="58" t="s">
        <v>285</v>
      </c>
      <c r="L153" s="59">
        <f t="shared" si="0"/>
        <v>1077</v>
      </c>
      <c r="M153" s="59">
        <f t="shared" si="0"/>
        <v>5864</v>
      </c>
      <c r="N153" s="44"/>
    </row>
    <row r="154" ht="40.5" spans="1:14">
      <c r="A154" s="45">
        <v>167</v>
      </c>
      <c r="B154" s="52" t="s">
        <v>524</v>
      </c>
      <c r="C154" s="18" t="s">
        <v>525</v>
      </c>
      <c r="D154" s="53" t="s">
        <v>23</v>
      </c>
      <c r="E154" s="18" t="s">
        <v>487</v>
      </c>
      <c r="F154" s="19" t="s">
        <v>289</v>
      </c>
      <c r="G154" s="19" t="s">
        <v>526</v>
      </c>
      <c r="H154" s="18" t="s">
        <v>527</v>
      </c>
      <c r="I154" s="52" t="s">
        <v>528</v>
      </c>
      <c r="J154" s="58">
        <v>25</v>
      </c>
      <c r="K154" s="18" t="s">
        <v>336</v>
      </c>
      <c r="L154" s="67">
        <v>121</v>
      </c>
      <c r="M154" s="67">
        <v>1022</v>
      </c>
      <c r="N154" s="93" t="s">
        <v>529</v>
      </c>
    </row>
    <row r="155" ht="40.5" spans="1:14">
      <c r="A155" s="45">
        <v>168</v>
      </c>
      <c r="B155" s="52" t="s">
        <v>530</v>
      </c>
      <c r="C155" s="18" t="s">
        <v>525</v>
      </c>
      <c r="D155" s="53" t="s">
        <v>23</v>
      </c>
      <c r="E155" s="18" t="s">
        <v>531</v>
      </c>
      <c r="F155" s="19" t="s">
        <v>289</v>
      </c>
      <c r="G155" s="19" t="s">
        <v>526</v>
      </c>
      <c r="H155" s="18" t="s">
        <v>532</v>
      </c>
      <c r="I155" s="52" t="s">
        <v>533</v>
      </c>
      <c r="J155" s="58">
        <v>6</v>
      </c>
      <c r="K155" s="18" t="s">
        <v>336</v>
      </c>
      <c r="L155" s="67">
        <v>89</v>
      </c>
      <c r="M155" s="67">
        <v>349</v>
      </c>
      <c r="N155" s="93" t="s">
        <v>529</v>
      </c>
    </row>
    <row r="156" ht="54" spans="1:14">
      <c r="A156" s="45">
        <v>169</v>
      </c>
      <c r="B156" s="52" t="s">
        <v>534</v>
      </c>
      <c r="C156" s="18" t="s">
        <v>525</v>
      </c>
      <c r="D156" s="53" t="s">
        <v>23</v>
      </c>
      <c r="E156" s="18" t="s">
        <v>535</v>
      </c>
      <c r="F156" s="19" t="s">
        <v>289</v>
      </c>
      <c r="G156" s="19" t="s">
        <v>526</v>
      </c>
      <c r="H156" s="18" t="s">
        <v>535</v>
      </c>
      <c r="I156" s="52" t="s">
        <v>536</v>
      </c>
      <c r="J156" s="58">
        <v>9.8</v>
      </c>
      <c r="K156" s="18" t="s">
        <v>336</v>
      </c>
      <c r="L156" s="67">
        <v>150</v>
      </c>
      <c r="M156" s="67">
        <v>1350</v>
      </c>
      <c r="N156" s="93" t="s">
        <v>529</v>
      </c>
    </row>
    <row r="157" ht="40.5" spans="1:14">
      <c r="A157" s="45">
        <v>170</v>
      </c>
      <c r="B157" s="18" t="s">
        <v>537</v>
      </c>
      <c r="C157" s="18" t="s">
        <v>274</v>
      </c>
      <c r="D157" s="18" t="s">
        <v>538</v>
      </c>
      <c r="E157" s="18" t="s">
        <v>331</v>
      </c>
      <c r="F157" s="19">
        <v>2020.3</v>
      </c>
      <c r="G157" s="19">
        <v>2020.6</v>
      </c>
      <c r="H157" s="18" t="s">
        <v>539</v>
      </c>
      <c r="I157" s="18" t="s">
        <v>540</v>
      </c>
      <c r="J157" s="94">
        <v>30.4622222222222</v>
      </c>
      <c r="K157" s="18" t="s">
        <v>541</v>
      </c>
      <c r="L157" s="18">
        <v>232</v>
      </c>
      <c r="M157" s="95">
        <v>1318</v>
      </c>
      <c r="N157" s="96" t="s">
        <v>293</v>
      </c>
    </row>
    <row r="158" ht="40.5" spans="1:14">
      <c r="A158" s="45">
        <v>171</v>
      </c>
      <c r="B158" s="18" t="s">
        <v>542</v>
      </c>
      <c r="C158" s="18" t="s">
        <v>274</v>
      </c>
      <c r="D158" s="18" t="s">
        <v>538</v>
      </c>
      <c r="E158" s="18" t="s">
        <v>264</v>
      </c>
      <c r="F158" s="19">
        <v>2020.3</v>
      </c>
      <c r="G158" s="19">
        <v>2020.6</v>
      </c>
      <c r="H158" s="18" t="s">
        <v>543</v>
      </c>
      <c r="I158" s="18" t="s">
        <v>544</v>
      </c>
      <c r="J158" s="94">
        <v>78.168</v>
      </c>
      <c r="K158" s="18" t="s">
        <v>541</v>
      </c>
      <c r="L158" s="18">
        <v>192</v>
      </c>
      <c r="M158" s="95">
        <v>1092</v>
      </c>
      <c r="N158" s="96" t="s">
        <v>293</v>
      </c>
    </row>
    <row r="159" ht="40.5" spans="1:14">
      <c r="A159" s="45">
        <v>172</v>
      </c>
      <c r="B159" s="18" t="s">
        <v>545</v>
      </c>
      <c r="C159" s="18" t="s">
        <v>274</v>
      </c>
      <c r="D159" s="18" t="s">
        <v>538</v>
      </c>
      <c r="E159" s="18" t="s">
        <v>546</v>
      </c>
      <c r="F159" s="19">
        <v>2020.3</v>
      </c>
      <c r="G159" s="19">
        <v>2020.6</v>
      </c>
      <c r="H159" s="18" t="s">
        <v>547</v>
      </c>
      <c r="I159" s="18" t="s">
        <v>540</v>
      </c>
      <c r="J159" s="18">
        <v>4.8</v>
      </c>
      <c r="K159" s="18" t="s">
        <v>541</v>
      </c>
      <c r="L159" s="18">
        <v>62</v>
      </c>
      <c r="M159" s="95">
        <v>142</v>
      </c>
      <c r="N159" s="96" t="s">
        <v>293</v>
      </c>
    </row>
    <row r="160" ht="40.5" spans="1:14">
      <c r="A160" s="45">
        <v>173</v>
      </c>
      <c r="B160" s="18" t="s">
        <v>548</v>
      </c>
      <c r="C160" s="18" t="s">
        <v>274</v>
      </c>
      <c r="D160" s="18" t="s">
        <v>538</v>
      </c>
      <c r="E160" s="18" t="s">
        <v>549</v>
      </c>
      <c r="F160" s="19">
        <v>2020.3</v>
      </c>
      <c r="G160" s="19">
        <v>2020.6</v>
      </c>
      <c r="H160" s="18" t="s">
        <v>543</v>
      </c>
      <c r="I160" s="18" t="s">
        <v>540</v>
      </c>
      <c r="J160" s="18">
        <v>29.64</v>
      </c>
      <c r="K160" s="18" t="s">
        <v>541</v>
      </c>
      <c r="L160" s="18">
        <v>231</v>
      </c>
      <c r="M160" s="95">
        <v>591</v>
      </c>
      <c r="N160" s="96" t="s">
        <v>293</v>
      </c>
    </row>
    <row r="161" s="1" customFormat="1" ht="59" customHeight="1" spans="1:14">
      <c r="A161" s="38" t="s">
        <v>550</v>
      </c>
      <c r="B161" s="40" t="s">
        <v>551</v>
      </c>
      <c r="C161" s="40"/>
      <c r="D161" s="40"/>
      <c r="E161" s="40"/>
      <c r="F161" s="40"/>
      <c r="G161" s="40"/>
      <c r="H161" s="40"/>
      <c r="I161" s="38"/>
      <c r="J161" s="55">
        <f>SUM(J162:J441)</f>
        <v>6820.422965</v>
      </c>
      <c r="K161" s="38"/>
      <c r="L161" s="38"/>
      <c r="M161" s="38"/>
      <c r="N161" s="38"/>
    </row>
    <row r="162" ht="54" spans="1:14">
      <c r="A162" s="18">
        <v>174</v>
      </c>
      <c r="B162" s="18" t="s">
        <v>552</v>
      </c>
      <c r="C162" s="18" t="s">
        <v>553</v>
      </c>
      <c r="D162" s="18" t="s">
        <v>554</v>
      </c>
      <c r="E162" s="18" t="s">
        <v>539</v>
      </c>
      <c r="F162" s="18" t="s">
        <v>555</v>
      </c>
      <c r="G162" s="18" t="s">
        <v>556</v>
      </c>
      <c r="H162" s="18" t="s">
        <v>557</v>
      </c>
      <c r="I162" s="97" t="s">
        <v>558</v>
      </c>
      <c r="J162" s="97">
        <v>31.8756</v>
      </c>
      <c r="K162" s="18" t="s">
        <v>559</v>
      </c>
      <c r="L162" s="18">
        <v>12</v>
      </c>
      <c r="M162" s="18">
        <v>220</v>
      </c>
      <c r="N162" s="18" t="s">
        <v>560</v>
      </c>
    </row>
    <row r="163" ht="40.5" spans="1:14">
      <c r="A163" s="18">
        <v>175</v>
      </c>
      <c r="B163" s="77" t="s">
        <v>561</v>
      </c>
      <c r="C163" s="18" t="s">
        <v>553</v>
      </c>
      <c r="D163" s="18" t="s">
        <v>554</v>
      </c>
      <c r="E163" s="78" t="s">
        <v>562</v>
      </c>
      <c r="F163" s="18" t="s">
        <v>555</v>
      </c>
      <c r="G163" s="18" t="s">
        <v>556</v>
      </c>
      <c r="H163" s="18" t="s">
        <v>557</v>
      </c>
      <c r="I163" s="67" t="s">
        <v>563</v>
      </c>
      <c r="J163" s="97">
        <f>1.7*10*0.3</f>
        <v>5.1</v>
      </c>
      <c r="K163" s="18" t="s">
        <v>559</v>
      </c>
      <c r="L163" s="98">
        <v>131.1</v>
      </c>
      <c r="M163" s="98">
        <v>193.5</v>
      </c>
      <c r="N163" s="18" t="s">
        <v>564</v>
      </c>
    </row>
    <row r="164" ht="54" spans="1:14">
      <c r="A164" s="18">
        <v>176</v>
      </c>
      <c r="B164" s="77" t="s">
        <v>565</v>
      </c>
      <c r="C164" s="18" t="s">
        <v>553</v>
      </c>
      <c r="D164" s="18" t="s">
        <v>554</v>
      </c>
      <c r="E164" s="78" t="s">
        <v>566</v>
      </c>
      <c r="F164" s="18" t="s">
        <v>555</v>
      </c>
      <c r="G164" s="18" t="s">
        <v>556</v>
      </c>
      <c r="H164" s="18" t="s">
        <v>557</v>
      </c>
      <c r="I164" s="67" t="s">
        <v>567</v>
      </c>
      <c r="J164" s="97">
        <f>3.5*10*0.3</f>
        <v>10.5</v>
      </c>
      <c r="K164" s="18" t="s">
        <v>559</v>
      </c>
      <c r="L164" s="98">
        <v>190.5</v>
      </c>
      <c r="M164" s="98">
        <v>292.5</v>
      </c>
      <c r="N164" s="18" t="s">
        <v>564</v>
      </c>
    </row>
    <row r="165" ht="40.5" spans="1:14">
      <c r="A165" s="18">
        <v>177</v>
      </c>
      <c r="B165" s="77" t="s">
        <v>568</v>
      </c>
      <c r="C165" s="18" t="s">
        <v>553</v>
      </c>
      <c r="D165" s="18" t="s">
        <v>554</v>
      </c>
      <c r="E165" s="78" t="s">
        <v>569</v>
      </c>
      <c r="F165" s="18" t="s">
        <v>555</v>
      </c>
      <c r="G165" s="18" t="s">
        <v>556</v>
      </c>
      <c r="H165" s="18" t="s">
        <v>557</v>
      </c>
      <c r="I165" s="99" t="s">
        <v>570</v>
      </c>
      <c r="J165" s="97">
        <v>1284.2532</v>
      </c>
      <c r="K165" s="18" t="s">
        <v>559</v>
      </c>
      <c r="L165" s="98">
        <v>2988.966</v>
      </c>
      <c r="M165" s="98">
        <v>4956.61</v>
      </c>
      <c r="N165" s="18" t="s">
        <v>560</v>
      </c>
    </row>
    <row r="166" ht="40.5" spans="1:14">
      <c r="A166" s="18">
        <v>178</v>
      </c>
      <c r="B166" s="77" t="s">
        <v>571</v>
      </c>
      <c r="C166" s="18" t="s">
        <v>553</v>
      </c>
      <c r="D166" s="18" t="s">
        <v>554</v>
      </c>
      <c r="E166" s="78" t="s">
        <v>569</v>
      </c>
      <c r="F166" s="18" t="s">
        <v>555</v>
      </c>
      <c r="G166" s="18" t="s">
        <v>556</v>
      </c>
      <c r="H166" s="18" t="s">
        <v>557</v>
      </c>
      <c r="I166" s="67" t="s">
        <v>572</v>
      </c>
      <c r="J166" s="97">
        <f>5.387*20*0.3</f>
        <v>32.322</v>
      </c>
      <c r="K166" s="18" t="s">
        <v>559</v>
      </c>
      <c r="L166" s="98">
        <v>252.771</v>
      </c>
      <c r="M166" s="98">
        <v>396.285</v>
      </c>
      <c r="N166" s="18" t="s">
        <v>560</v>
      </c>
    </row>
    <row r="167" ht="27" spans="1:14">
      <c r="A167" s="18">
        <v>179</v>
      </c>
      <c r="B167" s="77" t="s">
        <v>573</v>
      </c>
      <c r="C167" s="18" t="s">
        <v>553</v>
      </c>
      <c r="D167" s="18" t="s">
        <v>554</v>
      </c>
      <c r="E167" s="78" t="s">
        <v>569</v>
      </c>
      <c r="F167" s="18" t="s">
        <v>555</v>
      </c>
      <c r="G167" s="18" t="s">
        <v>556</v>
      </c>
      <c r="H167" s="18" t="s">
        <v>557</v>
      </c>
      <c r="I167" s="99">
        <v>0.792</v>
      </c>
      <c r="J167" s="97">
        <f>I167*38*0.3</f>
        <v>9.0288</v>
      </c>
      <c r="K167" s="18" t="s">
        <v>559</v>
      </c>
      <c r="L167" s="98">
        <v>101.136</v>
      </c>
      <c r="M167" s="98">
        <v>143.56</v>
      </c>
      <c r="N167" s="18" t="s">
        <v>560</v>
      </c>
    </row>
    <row r="168" ht="27" spans="1:14">
      <c r="A168" s="18">
        <v>180</v>
      </c>
      <c r="B168" s="77" t="s">
        <v>574</v>
      </c>
      <c r="C168" s="18" t="s">
        <v>553</v>
      </c>
      <c r="D168" s="18" t="s">
        <v>554</v>
      </c>
      <c r="E168" s="78" t="s">
        <v>575</v>
      </c>
      <c r="F168" s="18" t="s">
        <v>555</v>
      </c>
      <c r="G168" s="18" t="s">
        <v>556</v>
      </c>
      <c r="H168" s="18" t="s">
        <v>557</v>
      </c>
      <c r="I168" s="67" t="s">
        <v>576</v>
      </c>
      <c r="J168" s="97">
        <v>53.0214</v>
      </c>
      <c r="K168" s="18" t="s">
        <v>559</v>
      </c>
      <c r="L168" s="98">
        <v>228.483</v>
      </c>
      <c r="M168" s="98">
        <v>355.805</v>
      </c>
      <c r="N168" s="18" t="s">
        <v>560</v>
      </c>
    </row>
    <row r="169" ht="27" spans="1:14">
      <c r="A169" s="18">
        <v>181</v>
      </c>
      <c r="B169" s="77" t="s">
        <v>577</v>
      </c>
      <c r="C169" s="18" t="s">
        <v>553</v>
      </c>
      <c r="D169" s="18" t="s">
        <v>554</v>
      </c>
      <c r="E169" s="78" t="s">
        <v>575</v>
      </c>
      <c r="F169" s="18" t="s">
        <v>555</v>
      </c>
      <c r="G169" s="18" t="s">
        <v>556</v>
      </c>
      <c r="H169" s="18" t="s">
        <v>557</v>
      </c>
      <c r="I169" s="99">
        <v>3.41</v>
      </c>
      <c r="J169" s="97">
        <v>38.874</v>
      </c>
      <c r="K169" s="18" t="s">
        <v>559</v>
      </c>
      <c r="L169" s="98">
        <v>187.53</v>
      </c>
      <c r="M169" s="98">
        <v>287.55</v>
      </c>
      <c r="N169" s="18" t="s">
        <v>560</v>
      </c>
    </row>
    <row r="170" ht="27" spans="1:14">
      <c r="A170" s="18">
        <v>182</v>
      </c>
      <c r="B170" s="77" t="s">
        <v>578</v>
      </c>
      <c r="C170" s="18" t="s">
        <v>553</v>
      </c>
      <c r="D170" s="18" t="s">
        <v>554</v>
      </c>
      <c r="E170" s="78" t="s">
        <v>579</v>
      </c>
      <c r="F170" s="18" t="s">
        <v>555</v>
      </c>
      <c r="G170" s="18" t="s">
        <v>556</v>
      </c>
      <c r="H170" s="18" t="s">
        <v>557</v>
      </c>
      <c r="I170" s="99">
        <v>2.395</v>
      </c>
      <c r="J170" s="97">
        <v>27.303</v>
      </c>
      <c r="K170" s="18" t="s">
        <v>559</v>
      </c>
      <c r="L170" s="98">
        <v>154.035</v>
      </c>
      <c r="M170" s="98">
        <v>231.725</v>
      </c>
      <c r="N170" s="18" t="s">
        <v>560</v>
      </c>
    </row>
    <row r="171" ht="27" spans="1:14">
      <c r="A171" s="18">
        <v>183</v>
      </c>
      <c r="B171" s="77" t="s">
        <v>580</v>
      </c>
      <c r="C171" s="18" t="s">
        <v>553</v>
      </c>
      <c r="D171" s="18" t="s">
        <v>554</v>
      </c>
      <c r="E171" s="78" t="s">
        <v>579</v>
      </c>
      <c r="F171" s="18" t="s">
        <v>555</v>
      </c>
      <c r="G171" s="18" t="s">
        <v>556</v>
      </c>
      <c r="H171" s="18" t="s">
        <v>557</v>
      </c>
      <c r="I171" s="99">
        <v>0.767</v>
      </c>
      <c r="J171" s="97">
        <v>8.7438</v>
      </c>
      <c r="K171" s="18" t="s">
        <v>559</v>
      </c>
      <c r="L171" s="98">
        <v>100.311</v>
      </c>
      <c r="M171" s="98">
        <v>142.185</v>
      </c>
      <c r="N171" s="18" t="s">
        <v>560</v>
      </c>
    </row>
    <row r="172" ht="40.5" spans="1:14">
      <c r="A172" s="18">
        <v>184</v>
      </c>
      <c r="B172" s="77" t="s">
        <v>581</v>
      </c>
      <c r="C172" s="18" t="s">
        <v>553</v>
      </c>
      <c r="D172" s="18" t="s">
        <v>554</v>
      </c>
      <c r="E172" s="78" t="s">
        <v>582</v>
      </c>
      <c r="F172" s="18" t="s">
        <v>555</v>
      </c>
      <c r="G172" s="18" t="s">
        <v>556</v>
      </c>
      <c r="H172" s="18" t="s">
        <v>557</v>
      </c>
      <c r="I172" s="100">
        <v>0.2</v>
      </c>
      <c r="J172" s="97">
        <v>2.0292</v>
      </c>
      <c r="K172" s="18" t="s">
        <v>559</v>
      </c>
      <c r="L172" s="98">
        <v>81.6</v>
      </c>
      <c r="M172" s="98">
        <v>111</v>
      </c>
      <c r="N172" s="18" t="s">
        <v>560</v>
      </c>
    </row>
    <row r="173" ht="40.5" spans="1:14">
      <c r="A173" s="18">
        <v>185</v>
      </c>
      <c r="B173" s="77" t="s">
        <v>583</v>
      </c>
      <c r="C173" s="18" t="s">
        <v>553</v>
      </c>
      <c r="D173" s="18" t="s">
        <v>554</v>
      </c>
      <c r="E173" s="78" t="s">
        <v>584</v>
      </c>
      <c r="F173" s="18" t="s">
        <v>555</v>
      </c>
      <c r="G173" s="18" t="s">
        <v>556</v>
      </c>
      <c r="H173" s="18" t="s">
        <v>557</v>
      </c>
      <c r="I173" s="100">
        <v>1.595</v>
      </c>
      <c r="J173" s="97">
        <v>18.183</v>
      </c>
      <c r="K173" s="18" t="s">
        <v>559</v>
      </c>
      <c r="L173" s="98">
        <v>127.635</v>
      </c>
      <c r="M173" s="98">
        <v>187.725</v>
      </c>
      <c r="N173" s="18" t="s">
        <v>560</v>
      </c>
    </row>
    <row r="174" ht="27" spans="1:14">
      <c r="A174" s="18">
        <v>186</v>
      </c>
      <c r="B174" s="77" t="s">
        <v>585</v>
      </c>
      <c r="C174" s="18" t="s">
        <v>553</v>
      </c>
      <c r="D174" s="18" t="s">
        <v>554</v>
      </c>
      <c r="E174" s="78" t="s">
        <v>586</v>
      </c>
      <c r="F174" s="18" t="s">
        <v>555</v>
      </c>
      <c r="G174" s="18" t="s">
        <v>556</v>
      </c>
      <c r="H174" s="18" t="s">
        <v>557</v>
      </c>
      <c r="I174" s="100">
        <v>2.231</v>
      </c>
      <c r="J174" s="97">
        <v>25.4334</v>
      </c>
      <c r="K174" s="18" t="s">
        <v>559</v>
      </c>
      <c r="L174" s="98">
        <v>148.623</v>
      </c>
      <c r="M174" s="98">
        <v>222.705</v>
      </c>
      <c r="N174" s="18" t="s">
        <v>560</v>
      </c>
    </row>
    <row r="175" ht="40.5" spans="1:14">
      <c r="A175" s="18">
        <v>187</v>
      </c>
      <c r="B175" s="77" t="s">
        <v>587</v>
      </c>
      <c r="C175" s="18" t="s">
        <v>553</v>
      </c>
      <c r="D175" s="18" t="s">
        <v>554</v>
      </c>
      <c r="E175" s="78" t="s">
        <v>586</v>
      </c>
      <c r="F175" s="18" t="s">
        <v>555</v>
      </c>
      <c r="G175" s="18" t="s">
        <v>556</v>
      </c>
      <c r="H175" s="18" t="s">
        <v>557</v>
      </c>
      <c r="I175" s="99" t="s">
        <v>588</v>
      </c>
      <c r="J175" s="97">
        <v>29.865</v>
      </c>
      <c r="K175" s="18" t="s">
        <v>559</v>
      </c>
      <c r="L175" s="98">
        <v>140.703</v>
      </c>
      <c r="M175" s="98">
        <v>209.505</v>
      </c>
      <c r="N175" s="18" t="s">
        <v>560</v>
      </c>
    </row>
    <row r="176" ht="27" spans="1:14">
      <c r="A176" s="18">
        <v>189</v>
      </c>
      <c r="B176" s="77" t="s">
        <v>589</v>
      </c>
      <c r="C176" s="18" t="s">
        <v>553</v>
      </c>
      <c r="D176" s="18" t="s">
        <v>554</v>
      </c>
      <c r="E176" s="78" t="s">
        <v>590</v>
      </c>
      <c r="F176" s="18" t="s">
        <v>555</v>
      </c>
      <c r="G176" s="18" t="s">
        <v>556</v>
      </c>
      <c r="H176" s="18" t="s">
        <v>557</v>
      </c>
      <c r="I176" s="101" t="s">
        <v>591</v>
      </c>
      <c r="J176" s="97">
        <v>16</v>
      </c>
      <c r="K176" s="18" t="s">
        <v>559</v>
      </c>
      <c r="L176" s="98">
        <v>75</v>
      </c>
      <c r="M176" s="98">
        <v>100</v>
      </c>
      <c r="N176" s="18" t="s">
        <v>592</v>
      </c>
    </row>
    <row r="177" ht="27" spans="1:14">
      <c r="A177" s="18">
        <v>192</v>
      </c>
      <c r="B177" s="77" t="s">
        <v>593</v>
      </c>
      <c r="C177" s="18" t="s">
        <v>553</v>
      </c>
      <c r="D177" s="18" t="s">
        <v>554</v>
      </c>
      <c r="E177" s="78" t="s">
        <v>594</v>
      </c>
      <c r="F177" s="18" t="s">
        <v>555</v>
      </c>
      <c r="G177" s="18" t="s">
        <v>556</v>
      </c>
      <c r="H177" s="18" t="s">
        <v>557</v>
      </c>
      <c r="I177" s="99">
        <v>0.168</v>
      </c>
      <c r="J177" s="97">
        <f t="shared" ref="J177:J179" si="1">I177*38*0.3</f>
        <v>1.9152</v>
      </c>
      <c r="K177" s="18" t="s">
        <v>559</v>
      </c>
      <c r="L177" s="98">
        <v>80.544</v>
      </c>
      <c r="M177" s="98">
        <v>109.24</v>
      </c>
      <c r="N177" s="18" t="s">
        <v>560</v>
      </c>
    </row>
    <row r="178" ht="27" spans="1:14">
      <c r="A178" s="18">
        <v>193</v>
      </c>
      <c r="B178" s="77" t="s">
        <v>595</v>
      </c>
      <c r="C178" s="18" t="s">
        <v>553</v>
      </c>
      <c r="D178" s="18" t="s">
        <v>554</v>
      </c>
      <c r="E178" s="78" t="s">
        <v>594</v>
      </c>
      <c r="F178" s="18" t="s">
        <v>555</v>
      </c>
      <c r="G178" s="18" t="s">
        <v>556</v>
      </c>
      <c r="H178" s="18" t="s">
        <v>557</v>
      </c>
      <c r="I178" s="99">
        <v>0.141</v>
      </c>
      <c r="J178" s="97">
        <f t="shared" si="1"/>
        <v>1.6074</v>
      </c>
      <c r="K178" s="18" t="s">
        <v>559</v>
      </c>
      <c r="L178" s="98">
        <v>79.653</v>
      </c>
      <c r="M178" s="98">
        <v>107.755</v>
      </c>
      <c r="N178" s="18" t="s">
        <v>560</v>
      </c>
    </row>
    <row r="179" ht="27" spans="1:14">
      <c r="A179" s="18">
        <v>194</v>
      </c>
      <c r="B179" s="77" t="s">
        <v>596</v>
      </c>
      <c r="C179" s="18" t="s">
        <v>553</v>
      </c>
      <c r="D179" s="18" t="s">
        <v>554</v>
      </c>
      <c r="E179" s="78" t="s">
        <v>597</v>
      </c>
      <c r="F179" s="18" t="s">
        <v>555</v>
      </c>
      <c r="G179" s="18" t="s">
        <v>556</v>
      </c>
      <c r="H179" s="18" t="s">
        <v>557</v>
      </c>
      <c r="I179" s="99">
        <v>2.675</v>
      </c>
      <c r="J179" s="97">
        <f t="shared" si="1"/>
        <v>30.495</v>
      </c>
      <c r="K179" s="18" t="s">
        <v>559</v>
      </c>
      <c r="L179" s="98">
        <v>163.275</v>
      </c>
      <c r="M179" s="98">
        <v>247.125</v>
      </c>
      <c r="N179" s="18" t="s">
        <v>560</v>
      </c>
    </row>
    <row r="180" ht="27" spans="1:14">
      <c r="A180" s="18">
        <v>195</v>
      </c>
      <c r="B180" s="67" t="s">
        <v>598</v>
      </c>
      <c r="C180" s="18" t="s">
        <v>553</v>
      </c>
      <c r="D180" s="18" t="s">
        <v>554</v>
      </c>
      <c r="E180" s="78" t="s">
        <v>599</v>
      </c>
      <c r="F180" s="18" t="s">
        <v>555</v>
      </c>
      <c r="G180" s="18" t="s">
        <v>556</v>
      </c>
      <c r="H180" s="18" t="s">
        <v>557</v>
      </c>
      <c r="I180" s="101" t="s">
        <v>591</v>
      </c>
      <c r="J180" s="97">
        <v>9</v>
      </c>
      <c r="K180" s="18" t="s">
        <v>559</v>
      </c>
      <c r="L180" s="98">
        <v>75</v>
      </c>
      <c r="M180" s="98">
        <v>100</v>
      </c>
      <c r="N180" s="18" t="s">
        <v>592</v>
      </c>
    </row>
    <row r="181" ht="40.5" spans="1:14">
      <c r="A181" s="18">
        <v>196</v>
      </c>
      <c r="B181" s="77" t="s">
        <v>600</v>
      </c>
      <c r="C181" s="18" t="s">
        <v>553</v>
      </c>
      <c r="D181" s="18" t="s">
        <v>554</v>
      </c>
      <c r="E181" s="78" t="s">
        <v>599</v>
      </c>
      <c r="F181" s="18" t="s">
        <v>555</v>
      </c>
      <c r="G181" s="18" t="s">
        <v>556</v>
      </c>
      <c r="H181" s="18" t="s">
        <v>557</v>
      </c>
      <c r="I181" s="101" t="s">
        <v>601</v>
      </c>
      <c r="J181" s="97">
        <v>32.22</v>
      </c>
      <c r="K181" s="18" t="s">
        <v>559</v>
      </c>
      <c r="L181" s="98">
        <v>252.21</v>
      </c>
      <c r="M181" s="98">
        <v>395.35</v>
      </c>
      <c r="N181" s="18" t="s">
        <v>560</v>
      </c>
    </row>
    <row r="182" ht="40.5" spans="1:14">
      <c r="A182" s="18">
        <v>197</v>
      </c>
      <c r="B182" s="77" t="s">
        <v>602</v>
      </c>
      <c r="C182" s="18" t="s">
        <v>553</v>
      </c>
      <c r="D182" s="18" t="s">
        <v>554</v>
      </c>
      <c r="E182" s="78" t="s">
        <v>599</v>
      </c>
      <c r="F182" s="18" t="s">
        <v>555</v>
      </c>
      <c r="G182" s="18" t="s">
        <v>556</v>
      </c>
      <c r="H182" s="18" t="s">
        <v>557</v>
      </c>
      <c r="I182" s="99">
        <v>0.7</v>
      </c>
      <c r="J182" s="97">
        <f t="shared" ref="J182:J185" si="2">I182*38*0.3</f>
        <v>7.98</v>
      </c>
      <c r="K182" s="18" t="s">
        <v>559</v>
      </c>
      <c r="L182" s="98">
        <v>98.1</v>
      </c>
      <c r="M182" s="98">
        <v>138.5</v>
      </c>
      <c r="N182" s="18" t="s">
        <v>560</v>
      </c>
    </row>
    <row r="183" ht="40.5" spans="1:14">
      <c r="A183" s="18">
        <v>198</v>
      </c>
      <c r="B183" s="77" t="s">
        <v>603</v>
      </c>
      <c r="C183" s="18" t="s">
        <v>553</v>
      </c>
      <c r="D183" s="18" t="s">
        <v>554</v>
      </c>
      <c r="E183" s="78" t="s">
        <v>604</v>
      </c>
      <c r="F183" s="18" t="s">
        <v>555</v>
      </c>
      <c r="G183" s="18" t="s">
        <v>556</v>
      </c>
      <c r="H183" s="18" t="s">
        <v>557</v>
      </c>
      <c r="I183" s="99">
        <v>1.81</v>
      </c>
      <c r="J183" s="97">
        <f t="shared" si="2"/>
        <v>20.634</v>
      </c>
      <c r="K183" s="18" t="s">
        <v>559</v>
      </c>
      <c r="L183" s="98">
        <v>134.73</v>
      </c>
      <c r="M183" s="98">
        <v>199.55</v>
      </c>
      <c r="N183" s="18" t="s">
        <v>560</v>
      </c>
    </row>
    <row r="184" ht="27" spans="1:14">
      <c r="A184" s="18">
        <v>199</v>
      </c>
      <c r="B184" s="67" t="s">
        <v>605</v>
      </c>
      <c r="C184" s="18" t="s">
        <v>553</v>
      </c>
      <c r="D184" s="18" t="s">
        <v>554</v>
      </c>
      <c r="E184" s="78" t="s">
        <v>606</v>
      </c>
      <c r="F184" s="18" t="s">
        <v>555</v>
      </c>
      <c r="G184" s="18" t="s">
        <v>556</v>
      </c>
      <c r="H184" s="18" t="s">
        <v>557</v>
      </c>
      <c r="I184" s="101" t="s">
        <v>591</v>
      </c>
      <c r="J184" s="97">
        <v>30</v>
      </c>
      <c r="K184" s="18" t="s">
        <v>559</v>
      </c>
      <c r="L184" s="98">
        <v>75</v>
      </c>
      <c r="M184" s="98">
        <v>100</v>
      </c>
      <c r="N184" s="18" t="s">
        <v>592</v>
      </c>
    </row>
    <row r="185" ht="27" spans="1:14">
      <c r="A185" s="18">
        <v>200</v>
      </c>
      <c r="B185" s="67" t="s">
        <v>607</v>
      </c>
      <c r="C185" s="18" t="s">
        <v>553</v>
      </c>
      <c r="D185" s="18" t="s">
        <v>554</v>
      </c>
      <c r="E185" s="78" t="s">
        <v>608</v>
      </c>
      <c r="F185" s="18" t="s">
        <v>555</v>
      </c>
      <c r="G185" s="18" t="s">
        <v>556</v>
      </c>
      <c r="H185" s="18" t="s">
        <v>557</v>
      </c>
      <c r="I185" s="99">
        <v>0.35</v>
      </c>
      <c r="J185" s="97">
        <f t="shared" si="2"/>
        <v>3.99</v>
      </c>
      <c r="K185" s="18" t="s">
        <v>559</v>
      </c>
      <c r="L185" s="98">
        <v>86.55</v>
      </c>
      <c r="M185" s="98">
        <v>119.25</v>
      </c>
      <c r="N185" s="18" t="s">
        <v>560</v>
      </c>
    </row>
    <row r="186" ht="40.5" spans="1:14">
      <c r="A186" s="18">
        <v>201</v>
      </c>
      <c r="B186" s="67" t="s">
        <v>609</v>
      </c>
      <c r="C186" s="18" t="s">
        <v>553</v>
      </c>
      <c r="D186" s="18" t="s">
        <v>554</v>
      </c>
      <c r="E186" s="78" t="s">
        <v>599</v>
      </c>
      <c r="F186" s="18" t="s">
        <v>555</v>
      </c>
      <c r="G186" s="18" t="s">
        <v>556</v>
      </c>
      <c r="H186" s="18" t="s">
        <v>557</v>
      </c>
      <c r="I186" s="67" t="s">
        <v>610</v>
      </c>
      <c r="J186" s="97">
        <v>19.25</v>
      </c>
      <c r="K186" s="18" t="s">
        <v>559</v>
      </c>
      <c r="L186" s="98">
        <v>111.3</v>
      </c>
      <c r="M186" s="98">
        <v>160.5</v>
      </c>
      <c r="N186" s="18" t="s">
        <v>560</v>
      </c>
    </row>
    <row r="187" ht="40.5" spans="1:14">
      <c r="A187" s="18">
        <v>202</v>
      </c>
      <c r="B187" s="77" t="s">
        <v>611</v>
      </c>
      <c r="C187" s="18" t="s">
        <v>553</v>
      </c>
      <c r="D187" s="18" t="s">
        <v>554</v>
      </c>
      <c r="E187" s="78" t="s">
        <v>612</v>
      </c>
      <c r="F187" s="18" t="s">
        <v>555</v>
      </c>
      <c r="G187" s="18" t="s">
        <v>556</v>
      </c>
      <c r="H187" s="18" t="s">
        <v>557</v>
      </c>
      <c r="I187" s="100">
        <v>1.679</v>
      </c>
      <c r="J187" s="97">
        <v>19.1406</v>
      </c>
      <c r="K187" s="18" t="s">
        <v>559</v>
      </c>
      <c r="L187" s="98">
        <v>130.407</v>
      </c>
      <c r="M187" s="98">
        <v>192.345</v>
      </c>
      <c r="N187" s="18" t="s">
        <v>560</v>
      </c>
    </row>
    <row r="188" ht="40.5" spans="1:14">
      <c r="A188" s="18">
        <v>203</v>
      </c>
      <c r="B188" s="77" t="s">
        <v>613</v>
      </c>
      <c r="C188" s="18" t="s">
        <v>553</v>
      </c>
      <c r="D188" s="18" t="s">
        <v>554</v>
      </c>
      <c r="E188" s="78" t="s">
        <v>614</v>
      </c>
      <c r="F188" s="18" t="s">
        <v>555</v>
      </c>
      <c r="G188" s="18" t="s">
        <v>556</v>
      </c>
      <c r="H188" s="18" t="s">
        <v>557</v>
      </c>
      <c r="I188" s="101" t="s">
        <v>615</v>
      </c>
      <c r="J188" s="97">
        <v>7.86</v>
      </c>
      <c r="K188" s="18" t="s">
        <v>559</v>
      </c>
      <c r="L188" s="98">
        <v>118.23</v>
      </c>
      <c r="M188" s="98">
        <v>172.05</v>
      </c>
      <c r="N188" s="18" t="s">
        <v>560</v>
      </c>
    </row>
    <row r="189" ht="40.5" spans="1:14">
      <c r="A189" s="18">
        <v>204</v>
      </c>
      <c r="B189" s="77" t="s">
        <v>616</v>
      </c>
      <c r="C189" s="18" t="s">
        <v>553</v>
      </c>
      <c r="D189" s="18" t="s">
        <v>554</v>
      </c>
      <c r="E189" s="78" t="s">
        <v>617</v>
      </c>
      <c r="F189" s="18" t="s">
        <v>555</v>
      </c>
      <c r="G189" s="18" t="s">
        <v>556</v>
      </c>
      <c r="H189" s="18" t="s">
        <v>557</v>
      </c>
      <c r="I189" s="101" t="s">
        <v>618</v>
      </c>
      <c r="J189" s="97">
        <v>53.8275</v>
      </c>
      <c r="K189" s="18" t="s">
        <v>559</v>
      </c>
      <c r="L189" s="98">
        <v>427.77</v>
      </c>
      <c r="M189" s="98">
        <v>687.95</v>
      </c>
      <c r="N189" s="18" t="s">
        <v>560</v>
      </c>
    </row>
    <row r="190" ht="27" spans="1:14">
      <c r="A190" s="18">
        <v>206</v>
      </c>
      <c r="B190" s="67" t="s">
        <v>619</v>
      </c>
      <c r="C190" s="18" t="s">
        <v>553</v>
      </c>
      <c r="D190" s="18" t="s">
        <v>554</v>
      </c>
      <c r="E190" s="78" t="s">
        <v>620</v>
      </c>
      <c r="F190" s="18" t="s">
        <v>555</v>
      </c>
      <c r="G190" s="18" t="s">
        <v>556</v>
      </c>
      <c r="H190" s="18" t="s">
        <v>557</v>
      </c>
      <c r="I190" s="101" t="s">
        <v>591</v>
      </c>
      <c r="J190" s="97">
        <v>21.49968</v>
      </c>
      <c r="K190" s="18" t="s">
        <v>559</v>
      </c>
      <c r="L190" s="98">
        <v>75</v>
      </c>
      <c r="M190" s="98">
        <v>100</v>
      </c>
      <c r="N190" s="18" t="s">
        <v>592</v>
      </c>
    </row>
    <row r="191" ht="40.5" spans="1:14">
      <c r="A191" s="18">
        <v>207</v>
      </c>
      <c r="B191" s="77" t="s">
        <v>621</v>
      </c>
      <c r="C191" s="18" t="s">
        <v>553</v>
      </c>
      <c r="D191" s="18" t="s">
        <v>554</v>
      </c>
      <c r="E191" s="78" t="s">
        <v>620</v>
      </c>
      <c r="F191" s="18" t="s">
        <v>555</v>
      </c>
      <c r="G191" s="18" t="s">
        <v>556</v>
      </c>
      <c r="H191" s="18" t="s">
        <v>557</v>
      </c>
      <c r="I191" s="100">
        <v>3.291</v>
      </c>
      <c r="J191" s="97">
        <v>37.5174</v>
      </c>
      <c r="K191" s="18" t="s">
        <v>559</v>
      </c>
      <c r="L191" s="98">
        <v>183.603</v>
      </c>
      <c r="M191" s="98">
        <v>281.005</v>
      </c>
      <c r="N191" s="18" t="s">
        <v>560</v>
      </c>
    </row>
    <row r="192" ht="27" spans="1:14">
      <c r="A192" s="18">
        <v>208</v>
      </c>
      <c r="B192" s="77" t="s">
        <v>622</v>
      </c>
      <c r="C192" s="18" t="s">
        <v>553</v>
      </c>
      <c r="D192" s="18" t="s">
        <v>554</v>
      </c>
      <c r="E192" s="78" t="s">
        <v>298</v>
      </c>
      <c r="F192" s="18" t="s">
        <v>555</v>
      </c>
      <c r="G192" s="18" t="s">
        <v>556</v>
      </c>
      <c r="H192" s="18" t="s">
        <v>557</v>
      </c>
      <c r="I192" s="100">
        <v>0.8</v>
      </c>
      <c r="J192" s="97">
        <v>4.8</v>
      </c>
      <c r="K192" s="18" t="s">
        <v>559</v>
      </c>
      <c r="L192" s="98">
        <v>101.4</v>
      </c>
      <c r="M192" s="98">
        <v>144</v>
      </c>
      <c r="N192" s="18" t="s">
        <v>560</v>
      </c>
    </row>
    <row r="193" ht="43.05" customHeight="1" spans="1:14">
      <c r="A193" s="18">
        <v>209</v>
      </c>
      <c r="B193" s="77" t="s">
        <v>623</v>
      </c>
      <c r="C193" s="18" t="s">
        <v>553</v>
      </c>
      <c r="D193" s="18" t="s">
        <v>554</v>
      </c>
      <c r="E193" s="78" t="s">
        <v>288</v>
      </c>
      <c r="F193" s="18" t="s">
        <v>555</v>
      </c>
      <c r="G193" s="18" t="s">
        <v>556</v>
      </c>
      <c r="H193" s="18" t="s">
        <v>557</v>
      </c>
      <c r="I193" s="100">
        <v>0.825</v>
      </c>
      <c r="J193" s="97">
        <v>9.405</v>
      </c>
      <c r="K193" s="18" t="s">
        <v>559</v>
      </c>
      <c r="L193" s="98">
        <v>102.225</v>
      </c>
      <c r="M193" s="98">
        <v>145.375</v>
      </c>
      <c r="N193" s="18" t="s">
        <v>560</v>
      </c>
    </row>
    <row r="194" ht="39" customHeight="1" spans="1:14">
      <c r="A194" s="18">
        <v>210</v>
      </c>
      <c r="B194" s="77" t="s">
        <v>624</v>
      </c>
      <c r="C194" s="18" t="s">
        <v>553</v>
      </c>
      <c r="D194" s="18" t="s">
        <v>554</v>
      </c>
      <c r="E194" s="78" t="s">
        <v>298</v>
      </c>
      <c r="F194" s="18" t="s">
        <v>555</v>
      </c>
      <c r="G194" s="18" t="s">
        <v>556</v>
      </c>
      <c r="H194" s="18" t="s">
        <v>557</v>
      </c>
      <c r="I194" s="100">
        <v>2.425</v>
      </c>
      <c r="J194" s="97">
        <v>27.645</v>
      </c>
      <c r="K194" s="18" t="s">
        <v>559</v>
      </c>
      <c r="L194" s="98">
        <v>155.025</v>
      </c>
      <c r="M194" s="98">
        <v>233.375</v>
      </c>
      <c r="N194" s="18" t="s">
        <v>560</v>
      </c>
    </row>
    <row r="195" ht="52.05" customHeight="1" spans="1:14">
      <c r="A195" s="18">
        <v>211</v>
      </c>
      <c r="B195" s="77" t="s">
        <v>625</v>
      </c>
      <c r="C195" s="18" t="s">
        <v>553</v>
      </c>
      <c r="D195" s="18" t="s">
        <v>554</v>
      </c>
      <c r="E195" s="78" t="s">
        <v>626</v>
      </c>
      <c r="F195" s="18" t="s">
        <v>555</v>
      </c>
      <c r="G195" s="18" t="s">
        <v>556</v>
      </c>
      <c r="H195" s="18" t="s">
        <v>557</v>
      </c>
      <c r="I195" s="67" t="s">
        <v>627</v>
      </c>
      <c r="J195" s="97">
        <f>0.489*10*0.3</f>
        <v>1.467</v>
      </c>
      <c r="K195" s="18" t="s">
        <v>559</v>
      </c>
      <c r="L195" s="98">
        <v>91.137</v>
      </c>
      <c r="M195" s="98">
        <v>126.895</v>
      </c>
      <c r="N195" s="18" t="s">
        <v>564</v>
      </c>
    </row>
    <row r="196" ht="40.05" customHeight="1" spans="1:14">
      <c r="A196" s="18">
        <v>212</v>
      </c>
      <c r="B196" s="77" t="s">
        <v>628</v>
      </c>
      <c r="C196" s="18" t="s">
        <v>553</v>
      </c>
      <c r="D196" s="18" t="s">
        <v>554</v>
      </c>
      <c r="E196" s="78" t="s">
        <v>626</v>
      </c>
      <c r="F196" s="18" t="s">
        <v>555</v>
      </c>
      <c r="G196" s="18" t="s">
        <v>556</v>
      </c>
      <c r="H196" s="18" t="s">
        <v>557</v>
      </c>
      <c r="I196" s="99">
        <v>1.241</v>
      </c>
      <c r="J196" s="97">
        <f t="shared" ref="J196:J201" si="3">I196*38*0.3</f>
        <v>14.1474</v>
      </c>
      <c r="K196" s="18" t="s">
        <v>559</v>
      </c>
      <c r="L196" s="98">
        <v>115.953</v>
      </c>
      <c r="M196" s="98">
        <v>168.255</v>
      </c>
      <c r="N196" s="18" t="s">
        <v>560</v>
      </c>
    </row>
    <row r="197" ht="36" customHeight="1" spans="1:14">
      <c r="A197" s="18">
        <v>214</v>
      </c>
      <c r="B197" s="77" t="s">
        <v>629</v>
      </c>
      <c r="C197" s="18" t="s">
        <v>553</v>
      </c>
      <c r="D197" s="18" t="s">
        <v>554</v>
      </c>
      <c r="E197" s="78" t="s">
        <v>630</v>
      </c>
      <c r="F197" s="18" t="s">
        <v>555</v>
      </c>
      <c r="G197" s="18" t="s">
        <v>556</v>
      </c>
      <c r="H197" s="18" t="s">
        <v>557</v>
      </c>
      <c r="I197" s="99">
        <v>0.602</v>
      </c>
      <c r="J197" s="97">
        <f t="shared" si="3"/>
        <v>6.8628</v>
      </c>
      <c r="K197" s="18" t="s">
        <v>559</v>
      </c>
      <c r="L197" s="98">
        <v>94.866</v>
      </c>
      <c r="M197" s="98">
        <v>133.11</v>
      </c>
      <c r="N197" s="18" t="s">
        <v>560</v>
      </c>
    </row>
    <row r="198" ht="40.95" customHeight="1" spans="1:14">
      <c r="A198" s="18">
        <v>215</v>
      </c>
      <c r="B198" s="77" t="s">
        <v>514</v>
      </c>
      <c r="C198" s="18" t="s">
        <v>553</v>
      </c>
      <c r="D198" s="18" t="s">
        <v>554</v>
      </c>
      <c r="E198" s="78" t="s">
        <v>631</v>
      </c>
      <c r="F198" s="18" t="s">
        <v>555</v>
      </c>
      <c r="G198" s="18" t="s">
        <v>556</v>
      </c>
      <c r="H198" s="18" t="s">
        <v>557</v>
      </c>
      <c r="I198" s="100">
        <v>6.747</v>
      </c>
      <c r="J198" s="97">
        <f t="shared" si="3"/>
        <v>76.9158</v>
      </c>
      <c r="K198" s="18" t="s">
        <v>559</v>
      </c>
      <c r="L198" s="98">
        <v>297.651</v>
      </c>
      <c r="M198" s="98">
        <v>471.085</v>
      </c>
      <c r="N198" s="18" t="s">
        <v>560</v>
      </c>
    </row>
    <row r="199" ht="40.95" customHeight="1" spans="1:14">
      <c r="A199" s="18">
        <v>216</v>
      </c>
      <c r="B199" s="77" t="s">
        <v>632</v>
      </c>
      <c r="C199" s="18" t="s">
        <v>553</v>
      </c>
      <c r="D199" s="18" t="s">
        <v>554</v>
      </c>
      <c r="E199" s="78" t="s">
        <v>633</v>
      </c>
      <c r="F199" s="18" t="s">
        <v>555</v>
      </c>
      <c r="G199" s="18" t="s">
        <v>556</v>
      </c>
      <c r="H199" s="18" t="s">
        <v>557</v>
      </c>
      <c r="I199" s="100">
        <v>0.52</v>
      </c>
      <c r="J199" s="97">
        <f t="shared" si="3"/>
        <v>5.928</v>
      </c>
      <c r="K199" s="18" t="s">
        <v>559</v>
      </c>
      <c r="L199" s="98">
        <v>92.16</v>
      </c>
      <c r="M199" s="98">
        <v>128.6</v>
      </c>
      <c r="N199" s="18" t="s">
        <v>560</v>
      </c>
    </row>
    <row r="200" ht="61.95" customHeight="1" spans="1:14">
      <c r="A200" s="18">
        <v>217</v>
      </c>
      <c r="B200" s="77" t="s">
        <v>634</v>
      </c>
      <c r="C200" s="18" t="s">
        <v>553</v>
      </c>
      <c r="D200" s="18" t="s">
        <v>554</v>
      </c>
      <c r="E200" s="78" t="s">
        <v>301</v>
      </c>
      <c r="F200" s="18" t="s">
        <v>555</v>
      </c>
      <c r="G200" s="18" t="s">
        <v>556</v>
      </c>
      <c r="H200" s="18" t="s">
        <v>557</v>
      </c>
      <c r="I200" s="100">
        <v>3.95</v>
      </c>
      <c r="J200" s="97">
        <f t="shared" si="3"/>
        <v>45.03</v>
      </c>
      <c r="K200" s="18" t="s">
        <v>559</v>
      </c>
      <c r="L200" s="98">
        <v>205.35</v>
      </c>
      <c r="M200" s="98">
        <v>317.25</v>
      </c>
      <c r="N200" s="18" t="s">
        <v>560</v>
      </c>
    </row>
    <row r="201" ht="34.05" customHeight="1" spans="1:14">
      <c r="A201" s="18">
        <v>218</v>
      </c>
      <c r="B201" s="77" t="s">
        <v>635</v>
      </c>
      <c r="C201" s="18" t="s">
        <v>553</v>
      </c>
      <c r="D201" s="18" t="s">
        <v>554</v>
      </c>
      <c r="E201" s="78" t="s">
        <v>631</v>
      </c>
      <c r="F201" s="18" t="s">
        <v>555</v>
      </c>
      <c r="G201" s="18" t="s">
        <v>556</v>
      </c>
      <c r="H201" s="18" t="s">
        <v>557</v>
      </c>
      <c r="I201" s="100">
        <v>3.168</v>
      </c>
      <c r="J201" s="97">
        <f t="shared" si="3"/>
        <v>36.1152</v>
      </c>
      <c r="K201" s="18" t="s">
        <v>559</v>
      </c>
      <c r="L201" s="98">
        <v>179.544</v>
      </c>
      <c r="M201" s="98">
        <v>274.24</v>
      </c>
      <c r="N201" s="18" t="s">
        <v>560</v>
      </c>
    </row>
    <row r="202" ht="48" customHeight="1" spans="1:14">
      <c r="A202" s="18">
        <v>219</v>
      </c>
      <c r="B202" s="67" t="s">
        <v>636</v>
      </c>
      <c r="C202" s="18" t="s">
        <v>553</v>
      </c>
      <c r="D202" s="18" t="s">
        <v>554</v>
      </c>
      <c r="E202" s="78" t="s">
        <v>637</v>
      </c>
      <c r="F202" s="18" t="s">
        <v>555</v>
      </c>
      <c r="G202" s="18" t="s">
        <v>556</v>
      </c>
      <c r="H202" s="18" t="s">
        <v>557</v>
      </c>
      <c r="I202" s="101" t="s">
        <v>638</v>
      </c>
      <c r="J202" s="97">
        <v>4.8</v>
      </c>
      <c r="K202" s="18" t="s">
        <v>559</v>
      </c>
      <c r="L202" s="18">
        <v>10</v>
      </c>
      <c r="M202" s="18">
        <v>120</v>
      </c>
      <c r="N202" s="18" t="s">
        <v>560</v>
      </c>
    </row>
    <row r="203" ht="31.95" customHeight="1" spans="1:14">
      <c r="A203" s="18">
        <v>220</v>
      </c>
      <c r="B203" s="67" t="s">
        <v>639</v>
      </c>
      <c r="C203" s="18" t="s">
        <v>553</v>
      </c>
      <c r="D203" s="18" t="s">
        <v>554</v>
      </c>
      <c r="E203" s="78" t="s">
        <v>637</v>
      </c>
      <c r="F203" s="18" t="s">
        <v>555</v>
      </c>
      <c r="G203" s="18" t="s">
        <v>556</v>
      </c>
      <c r="H203" s="18" t="s">
        <v>557</v>
      </c>
      <c r="I203" s="101" t="s">
        <v>640</v>
      </c>
      <c r="J203" s="97">
        <v>2.04429</v>
      </c>
      <c r="K203" s="18" t="s">
        <v>559</v>
      </c>
      <c r="L203" s="18">
        <v>10</v>
      </c>
      <c r="M203" s="18">
        <v>120</v>
      </c>
      <c r="N203" s="18" t="s">
        <v>560</v>
      </c>
    </row>
    <row r="204" ht="36" customHeight="1" spans="1:14">
      <c r="A204" s="18">
        <v>221</v>
      </c>
      <c r="B204" s="67" t="s">
        <v>641</v>
      </c>
      <c r="C204" s="18" t="s">
        <v>553</v>
      </c>
      <c r="D204" s="18" t="s">
        <v>554</v>
      </c>
      <c r="E204" s="78" t="s">
        <v>642</v>
      </c>
      <c r="F204" s="18" t="s">
        <v>555</v>
      </c>
      <c r="G204" s="18" t="s">
        <v>556</v>
      </c>
      <c r="H204" s="18" t="s">
        <v>557</v>
      </c>
      <c r="I204" s="101" t="s">
        <v>643</v>
      </c>
      <c r="J204" s="97">
        <v>10.336</v>
      </c>
      <c r="K204" s="18" t="s">
        <v>559</v>
      </c>
      <c r="L204" s="18">
        <v>12</v>
      </c>
      <c r="M204" s="18">
        <v>220</v>
      </c>
      <c r="N204" s="18" t="s">
        <v>560</v>
      </c>
    </row>
    <row r="205" ht="40.05" customHeight="1" spans="1:14">
      <c r="A205" s="18">
        <v>222</v>
      </c>
      <c r="B205" s="67" t="s">
        <v>644</v>
      </c>
      <c r="C205" s="18" t="s">
        <v>553</v>
      </c>
      <c r="D205" s="18" t="s">
        <v>554</v>
      </c>
      <c r="E205" s="78" t="s">
        <v>645</v>
      </c>
      <c r="F205" s="18" t="s">
        <v>555</v>
      </c>
      <c r="G205" s="18" t="s">
        <v>556</v>
      </c>
      <c r="H205" s="18" t="s">
        <v>557</v>
      </c>
      <c r="I205" s="100" t="s">
        <v>646</v>
      </c>
      <c r="J205" s="97">
        <v>137.25</v>
      </c>
      <c r="K205" s="18" t="s">
        <v>559</v>
      </c>
      <c r="L205" s="18">
        <v>15</v>
      </c>
      <c r="M205" s="18">
        <v>529</v>
      </c>
      <c r="N205" s="18" t="s">
        <v>560</v>
      </c>
    </row>
    <row r="206" ht="54" spans="1:14">
      <c r="A206" s="18">
        <v>223</v>
      </c>
      <c r="B206" s="18" t="s">
        <v>647</v>
      </c>
      <c r="C206" s="18" t="s">
        <v>553</v>
      </c>
      <c r="D206" s="18" t="s">
        <v>23</v>
      </c>
      <c r="E206" s="101" t="s">
        <v>648</v>
      </c>
      <c r="F206" s="18" t="s">
        <v>555</v>
      </c>
      <c r="G206" s="18" t="s">
        <v>556</v>
      </c>
      <c r="H206" s="18" t="s">
        <v>649</v>
      </c>
      <c r="I206" s="101" t="s">
        <v>650</v>
      </c>
      <c r="J206" s="78">
        <v>10</v>
      </c>
      <c r="K206" s="18" t="s">
        <v>651</v>
      </c>
      <c r="L206" s="98">
        <v>75</v>
      </c>
      <c r="M206" s="98">
        <v>321</v>
      </c>
      <c r="N206" s="18" t="s">
        <v>652</v>
      </c>
    </row>
    <row r="207" ht="67.5" spans="1:14">
      <c r="A207" s="18">
        <v>224</v>
      </c>
      <c r="B207" s="18" t="s">
        <v>653</v>
      </c>
      <c r="C207" s="18" t="s">
        <v>553</v>
      </c>
      <c r="D207" s="18" t="s">
        <v>23</v>
      </c>
      <c r="E207" s="102" t="s">
        <v>654</v>
      </c>
      <c r="F207" s="18" t="s">
        <v>555</v>
      </c>
      <c r="G207" s="18" t="s">
        <v>556</v>
      </c>
      <c r="H207" s="18" t="s">
        <v>649</v>
      </c>
      <c r="I207" s="101" t="s">
        <v>650</v>
      </c>
      <c r="J207" s="78">
        <v>13</v>
      </c>
      <c r="K207" s="18" t="s">
        <v>651</v>
      </c>
      <c r="L207" s="98">
        <v>60</v>
      </c>
      <c r="M207" s="98">
        <v>234</v>
      </c>
      <c r="N207" s="18" t="s">
        <v>652</v>
      </c>
    </row>
    <row r="208" ht="54" spans="1:14">
      <c r="A208" s="18">
        <v>225</v>
      </c>
      <c r="B208" s="18" t="s">
        <v>655</v>
      </c>
      <c r="C208" s="18" t="s">
        <v>553</v>
      </c>
      <c r="D208" s="18" t="s">
        <v>23</v>
      </c>
      <c r="E208" s="101" t="s">
        <v>566</v>
      </c>
      <c r="F208" s="18" t="s">
        <v>555</v>
      </c>
      <c r="G208" s="18" t="s">
        <v>556</v>
      </c>
      <c r="H208" s="18" t="s">
        <v>649</v>
      </c>
      <c r="I208" s="101" t="s">
        <v>650</v>
      </c>
      <c r="J208" s="78">
        <v>32</v>
      </c>
      <c r="K208" s="18" t="s">
        <v>651</v>
      </c>
      <c r="L208" s="98">
        <v>67</v>
      </c>
      <c r="M208" s="98">
        <v>433</v>
      </c>
      <c r="N208" s="18" t="s">
        <v>652</v>
      </c>
    </row>
    <row r="209" ht="54" spans="1:14">
      <c r="A209" s="18">
        <v>226</v>
      </c>
      <c r="B209" s="18" t="s">
        <v>656</v>
      </c>
      <c r="C209" s="18" t="s">
        <v>553</v>
      </c>
      <c r="D209" s="18" t="s">
        <v>23</v>
      </c>
      <c r="E209" s="101" t="s">
        <v>657</v>
      </c>
      <c r="F209" s="18" t="s">
        <v>555</v>
      </c>
      <c r="G209" s="18" t="s">
        <v>556</v>
      </c>
      <c r="H209" s="18" t="s">
        <v>649</v>
      </c>
      <c r="I209" s="101" t="s">
        <v>650</v>
      </c>
      <c r="J209" s="78">
        <v>3</v>
      </c>
      <c r="K209" s="18" t="s">
        <v>651</v>
      </c>
      <c r="L209" s="98">
        <v>65</v>
      </c>
      <c r="M209" s="98">
        <v>123</v>
      </c>
      <c r="N209" s="18" t="s">
        <v>652</v>
      </c>
    </row>
    <row r="210" ht="54" spans="1:14">
      <c r="A210" s="18">
        <v>227</v>
      </c>
      <c r="B210" s="18" t="s">
        <v>658</v>
      </c>
      <c r="C210" s="18" t="s">
        <v>553</v>
      </c>
      <c r="D210" s="18" t="s">
        <v>23</v>
      </c>
      <c r="E210" s="101" t="s">
        <v>659</v>
      </c>
      <c r="F210" s="18" t="s">
        <v>555</v>
      </c>
      <c r="G210" s="18" t="s">
        <v>556</v>
      </c>
      <c r="H210" s="18" t="s">
        <v>649</v>
      </c>
      <c r="I210" s="101" t="s">
        <v>650</v>
      </c>
      <c r="J210" s="78">
        <v>3</v>
      </c>
      <c r="K210" s="18" t="s">
        <v>651</v>
      </c>
      <c r="L210" s="98">
        <v>62</v>
      </c>
      <c r="M210" s="98">
        <v>167</v>
      </c>
      <c r="N210" s="18" t="s">
        <v>652</v>
      </c>
    </row>
    <row r="211" ht="67.5" spans="1:14">
      <c r="A211" s="18">
        <v>228</v>
      </c>
      <c r="B211" s="18" t="s">
        <v>660</v>
      </c>
      <c r="C211" s="18" t="s">
        <v>553</v>
      </c>
      <c r="D211" s="18" t="s">
        <v>23</v>
      </c>
      <c r="E211" s="101" t="s">
        <v>661</v>
      </c>
      <c r="F211" s="18" t="s">
        <v>555</v>
      </c>
      <c r="G211" s="18" t="s">
        <v>556</v>
      </c>
      <c r="H211" s="18" t="s">
        <v>649</v>
      </c>
      <c r="I211" s="101" t="s">
        <v>650</v>
      </c>
      <c r="J211" s="78">
        <v>10</v>
      </c>
      <c r="K211" s="18" t="s">
        <v>651</v>
      </c>
      <c r="L211" s="98">
        <v>61</v>
      </c>
      <c r="M211" s="98">
        <v>136</v>
      </c>
      <c r="N211" s="18" t="s">
        <v>652</v>
      </c>
    </row>
    <row r="212" ht="54" spans="1:14">
      <c r="A212" s="18">
        <v>229</v>
      </c>
      <c r="B212" s="18" t="s">
        <v>662</v>
      </c>
      <c r="C212" s="18" t="s">
        <v>553</v>
      </c>
      <c r="D212" s="18" t="s">
        <v>23</v>
      </c>
      <c r="E212" s="101" t="s">
        <v>659</v>
      </c>
      <c r="F212" s="18" t="s">
        <v>555</v>
      </c>
      <c r="G212" s="18" t="s">
        <v>556</v>
      </c>
      <c r="H212" s="18" t="s">
        <v>649</v>
      </c>
      <c r="I212" s="101" t="s">
        <v>650</v>
      </c>
      <c r="J212" s="78">
        <v>15</v>
      </c>
      <c r="K212" s="18" t="s">
        <v>651</v>
      </c>
      <c r="L212" s="98">
        <v>66</v>
      </c>
      <c r="M212" s="98">
        <v>143</v>
      </c>
      <c r="N212" s="18" t="s">
        <v>652</v>
      </c>
    </row>
    <row r="213" ht="54" spans="1:14">
      <c r="A213" s="18">
        <v>230</v>
      </c>
      <c r="B213" s="18" t="s">
        <v>663</v>
      </c>
      <c r="C213" s="18" t="s">
        <v>553</v>
      </c>
      <c r="D213" s="18" t="s">
        <v>23</v>
      </c>
      <c r="E213" s="101" t="s">
        <v>664</v>
      </c>
      <c r="F213" s="18" t="s">
        <v>555</v>
      </c>
      <c r="G213" s="18" t="s">
        <v>556</v>
      </c>
      <c r="H213" s="18" t="s">
        <v>649</v>
      </c>
      <c r="I213" s="101" t="s">
        <v>650</v>
      </c>
      <c r="J213" s="78">
        <v>15</v>
      </c>
      <c r="K213" s="18" t="s">
        <v>651</v>
      </c>
      <c r="L213" s="98">
        <v>76</v>
      </c>
      <c r="M213" s="98">
        <v>133</v>
      </c>
      <c r="N213" s="18" t="s">
        <v>652</v>
      </c>
    </row>
    <row r="214" ht="54" spans="1:14">
      <c r="A214" s="18">
        <v>231</v>
      </c>
      <c r="B214" s="18" t="s">
        <v>665</v>
      </c>
      <c r="C214" s="18" t="s">
        <v>553</v>
      </c>
      <c r="D214" s="18" t="s">
        <v>23</v>
      </c>
      <c r="E214" s="101" t="s">
        <v>666</v>
      </c>
      <c r="F214" s="18" t="s">
        <v>555</v>
      </c>
      <c r="G214" s="18" t="s">
        <v>556</v>
      </c>
      <c r="H214" s="18" t="s">
        <v>649</v>
      </c>
      <c r="I214" s="101" t="s">
        <v>650</v>
      </c>
      <c r="J214" s="78">
        <v>48.1</v>
      </c>
      <c r="K214" s="18" t="s">
        <v>651</v>
      </c>
      <c r="L214" s="98">
        <v>75</v>
      </c>
      <c r="M214" s="98">
        <v>231</v>
      </c>
      <c r="N214" s="18" t="s">
        <v>652</v>
      </c>
    </row>
    <row r="215" ht="67.5" spans="1:14">
      <c r="A215" s="18">
        <v>232</v>
      </c>
      <c r="B215" s="18" t="s">
        <v>667</v>
      </c>
      <c r="C215" s="18" t="s">
        <v>553</v>
      </c>
      <c r="D215" s="18" t="s">
        <v>23</v>
      </c>
      <c r="E215" s="101" t="s">
        <v>668</v>
      </c>
      <c r="F215" s="18" t="s">
        <v>555</v>
      </c>
      <c r="G215" s="18" t="s">
        <v>556</v>
      </c>
      <c r="H215" s="18" t="s">
        <v>649</v>
      </c>
      <c r="I215" s="101" t="s">
        <v>650</v>
      </c>
      <c r="J215" s="78">
        <v>10</v>
      </c>
      <c r="K215" s="18" t="s">
        <v>651</v>
      </c>
      <c r="L215" s="98">
        <v>75</v>
      </c>
      <c r="M215" s="98">
        <v>231</v>
      </c>
      <c r="N215" s="18" t="s">
        <v>652</v>
      </c>
    </row>
    <row r="216" ht="54" spans="1:14">
      <c r="A216" s="18">
        <v>233</v>
      </c>
      <c r="B216" s="18" t="s">
        <v>669</v>
      </c>
      <c r="C216" s="18" t="s">
        <v>553</v>
      </c>
      <c r="D216" s="18" t="s">
        <v>23</v>
      </c>
      <c r="E216" s="101" t="s">
        <v>670</v>
      </c>
      <c r="F216" s="18" t="s">
        <v>555</v>
      </c>
      <c r="G216" s="18" t="s">
        <v>556</v>
      </c>
      <c r="H216" s="18" t="s">
        <v>649</v>
      </c>
      <c r="I216" s="101" t="s">
        <v>650</v>
      </c>
      <c r="J216" s="78">
        <v>13</v>
      </c>
      <c r="K216" s="18" t="s">
        <v>651</v>
      </c>
      <c r="L216" s="98">
        <v>75</v>
      </c>
      <c r="M216" s="98">
        <v>222</v>
      </c>
      <c r="N216" s="18" t="s">
        <v>652</v>
      </c>
    </row>
    <row r="217" ht="54" spans="1:14">
      <c r="A217" s="18">
        <v>234</v>
      </c>
      <c r="B217" s="18" t="s">
        <v>671</v>
      </c>
      <c r="C217" s="18" t="s">
        <v>672</v>
      </c>
      <c r="D217" s="18" t="s">
        <v>23</v>
      </c>
      <c r="E217" s="78" t="s">
        <v>579</v>
      </c>
      <c r="F217" s="18" t="s">
        <v>555</v>
      </c>
      <c r="G217" s="18" t="s">
        <v>556</v>
      </c>
      <c r="H217" s="18" t="s">
        <v>649</v>
      </c>
      <c r="I217" s="18" t="s">
        <v>673</v>
      </c>
      <c r="J217" s="78">
        <v>15</v>
      </c>
      <c r="K217" s="18" t="s">
        <v>651</v>
      </c>
      <c r="L217" s="18">
        <v>30</v>
      </c>
      <c r="M217" s="18">
        <v>190</v>
      </c>
      <c r="N217" s="18" t="s">
        <v>674</v>
      </c>
    </row>
    <row r="218" ht="40.5" spans="1:14">
      <c r="A218" s="18">
        <v>235</v>
      </c>
      <c r="B218" s="18" t="s">
        <v>675</v>
      </c>
      <c r="C218" s="18" t="s">
        <v>672</v>
      </c>
      <c r="D218" s="18" t="s">
        <v>23</v>
      </c>
      <c r="E218" s="78" t="s">
        <v>659</v>
      </c>
      <c r="F218" s="18" t="s">
        <v>555</v>
      </c>
      <c r="G218" s="18" t="s">
        <v>556</v>
      </c>
      <c r="H218" s="18" t="s">
        <v>649</v>
      </c>
      <c r="I218" s="18" t="s">
        <v>676</v>
      </c>
      <c r="J218" s="78">
        <v>3</v>
      </c>
      <c r="K218" s="18" t="s">
        <v>651</v>
      </c>
      <c r="L218" s="18">
        <v>20</v>
      </c>
      <c r="M218" s="18">
        <v>90</v>
      </c>
      <c r="N218" s="18" t="s">
        <v>674</v>
      </c>
    </row>
    <row r="219" ht="54" spans="1:14">
      <c r="A219" s="18">
        <v>236</v>
      </c>
      <c r="B219" s="18" t="s">
        <v>677</v>
      </c>
      <c r="C219" s="18" t="s">
        <v>672</v>
      </c>
      <c r="D219" s="18" t="s">
        <v>23</v>
      </c>
      <c r="E219" s="78" t="s">
        <v>657</v>
      </c>
      <c r="F219" s="18" t="s">
        <v>555</v>
      </c>
      <c r="G219" s="18" t="s">
        <v>556</v>
      </c>
      <c r="H219" s="18" t="s">
        <v>649</v>
      </c>
      <c r="I219" s="18" t="s">
        <v>676</v>
      </c>
      <c r="J219" s="78">
        <v>3</v>
      </c>
      <c r="K219" s="18" t="s">
        <v>651</v>
      </c>
      <c r="L219" s="18">
        <v>20</v>
      </c>
      <c r="M219" s="18">
        <v>260</v>
      </c>
      <c r="N219" s="18" t="s">
        <v>674</v>
      </c>
    </row>
    <row r="220" ht="54" spans="1:14">
      <c r="A220" s="18">
        <v>237</v>
      </c>
      <c r="B220" s="18" t="s">
        <v>678</v>
      </c>
      <c r="C220" s="18" t="s">
        <v>672</v>
      </c>
      <c r="D220" s="18" t="s">
        <v>23</v>
      </c>
      <c r="E220" s="78" t="s">
        <v>666</v>
      </c>
      <c r="F220" s="18" t="s">
        <v>555</v>
      </c>
      <c r="G220" s="18" t="s">
        <v>556</v>
      </c>
      <c r="H220" s="18" t="s">
        <v>649</v>
      </c>
      <c r="I220" s="18" t="s">
        <v>679</v>
      </c>
      <c r="J220" s="98">
        <v>41</v>
      </c>
      <c r="K220" s="18" t="s">
        <v>651</v>
      </c>
      <c r="L220" s="18">
        <v>20</v>
      </c>
      <c r="M220" s="18">
        <v>200</v>
      </c>
      <c r="N220" s="18" t="s">
        <v>674</v>
      </c>
    </row>
    <row r="221" ht="33" customHeight="1" spans="1:14">
      <c r="A221" s="18">
        <v>238</v>
      </c>
      <c r="B221" s="103" t="s">
        <v>680</v>
      </c>
      <c r="C221" s="18" t="s">
        <v>553</v>
      </c>
      <c r="D221" s="18" t="s">
        <v>23</v>
      </c>
      <c r="E221" s="101" t="s">
        <v>681</v>
      </c>
      <c r="F221" s="18" t="s">
        <v>555</v>
      </c>
      <c r="G221" s="18" t="s">
        <v>556</v>
      </c>
      <c r="H221" s="18" t="s">
        <v>649</v>
      </c>
      <c r="I221" s="18" t="s">
        <v>591</v>
      </c>
      <c r="J221" s="78">
        <v>60</v>
      </c>
      <c r="K221" s="18" t="s">
        <v>651</v>
      </c>
      <c r="L221" s="98">
        <v>120</v>
      </c>
      <c r="M221" s="98">
        <v>820</v>
      </c>
      <c r="N221" s="18" t="s">
        <v>682</v>
      </c>
    </row>
    <row r="222" ht="42" customHeight="1" spans="1:14">
      <c r="A222" s="18">
        <v>239</v>
      </c>
      <c r="B222" s="103" t="s">
        <v>683</v>
      </c>
      <c r="C222" s="18" t="s">
        <v>553</v>
      </c>
      <c r="D222" s="18" t="s">
        <v>23</v>
      </c>
      <c r="E222" s="101" t="s">
        <v>684</v>
      </c>
      <c r="F222" s="18" t="s">
        <v>555</v>
      </c>
      <c r="G222" s="18" t="s">
        <v>556</v>
      </c>
      <c r="H222" s="18" t="s">
        <v>649</v>
      </c>
      <c r="I222" s="18" t="s">
        <v>685</v>
      </c>
      <c r="J222" s="78">
        <v>59</v>
      </c>
      <c r="K222" s="18" t="s">
        <v>651</v>
      </c>
      <c r="L222" s="98">
        <v>89</v>
      </c>
      <c r="M222" s="98">
        <v>750</v>
      </c>
      <c r="N222" s="18" t="s">
        <v>686</v>
      </c>
    </row>
    <row r="223" ht="36" customHeight="1" spans="1:14">
      <c r="A223" s="18">
        <v>240</v>
      </c>
      <c r="B223" s="103" t="s">
        <v>687</v>
      </c>
      <c r="C223" s="18" t="s">
        <v>553</v>
      </c>
      <c r="D223" s="18" t="s">
        <v>23</v>
      </c>
      <c r="E223" s="18" t="s">
        <v>688</v>
      </c>
      <c r="F223" s="18" t="s">
        <v>555</v>
      </c>
      <c r="G223" s="18" t="s">
        <v>556</v>
      </c>
      <c r="H223" s="18" t="s">
        <v>649</v>
      </c>
      <c r="I223" s="67" t="s">
        <v>689</v>
      </c>
      <c r="J223" s="94">
        <v>22.8</v>
      </c>
      <c r="K223" s="18" t="s">
        <v>651</v>
      </c>
      <c r="L223" s="98">
        <v>61</v>
      </c>
      <c r="M223" s="98">
        <v>136</v>
      </c>
      <c r="N223" s="18" t="s">
        <v>652</v>
      </c>
    </row>
    <row r="224" ht="60" customHeight="1" spans="1:14">
      <c r="A224" s="18">
        <v>241</v>
      </c>
      <c r="B224" s="103" t="s">
        <v>690</v>
      </c>
      <c r="C224" s="18" t="s">
        <v>553</v>
      </c>
      <c r="D224" s="18" t="s">
        <v>23</v>
      </c>
      <c r="E224" s="18" t="s">
        <v>654</v>
      </c>
      <c r="F224" s="18" t="s">
        <v>555</v>
      </c>
      <c r="G224" s="18" t="s">
        <v>556</v>
      </c>
      <c r="H224" s="18" t="s">
        <v>649</v>
      </c>
      <c r="I224" s="67" t="s">
        <v>691</v>
      </c>
      <c r="J224" s="94">
        <v>38</v>
      </c>
      <c r="K224" s="18" t="s">
        <v>651</v>
      </c>
      <c r="L224" s="98">
        <v>75</v>
      </c>
      <c r="M224" s="98">
        <v>321</v>
      </c>
      <c r="N224" s="18" t="s">
        <v>652</v>
      </c>
    </row>
    <row r="225" ht="40.5" spans="1:14">
      <c r="A225" s="18">
        <v>242</v>
      </c>
      <c r="B225" s="103" t="s">
        <v>692</v>
      </c>
      <c r="C225" s="18" t="s">
        <v>553</v>
      </c>
      <c r="D225" s="18" t="s">
        <v>23</v>
      </c>
      <c r="E225" s="18" t="s">
        <v>654</v>
      </c>
      <c r="F225" s="18" t="s">
        <v>555</v>
      </c>
      <c r="G225" s="18" t="s">
        <v>556</v>
      </c>
      <c r="H225" s="18" t="s">
        <v>649</v>
      </c>
      <c r="I225" s="67" t="s">
        <v>693</v>
      </c>
      <c r="J225" s="94">
        <v>10.059</v>
      </c>
      <c r="K225" s="18" t="s">
        <v>651</v>
      </c>
      <c r="L225" s="98">
        <v>75</v>
      </c>
      <c r="M225" s="98">
        <v>321</v>
      </c>
      <c r="N225" s="18" t="s">
        <v>652</v>
      </c>
    </row>
    <row r="226" ht="40.5" spans="1:14">
      <c r="A226" s="18">
        <v>243</v>
      </c>
      <c r="B226" s="103" t="s">
        <v>694</v>
      </c>
      <c r="C226" s="18" t="s">
        <v>553</v>
      </c>
      <c r="D226" s="18" t="s">
        <v>23</v>
      </c>
      <c r="E226" s="18" t="s">
        <v>695</v>
      </c>
      <c r="F226" s="18" t="s">
        <v>555</v>
      </c>
      <c r="G226" s="18" t="s">
        <v>556</v>
      </c>
      <c r="H226" s="18" t="s">
        <v>649</v>
      </c>
      <c r="I226" s="67" t="s">
        <v>696</v>
      </c>
      <c r="J226" s="94">
        <v>21</v>
      </c>
      <c r="K226" s="18" t="s">
        <v>651</v>
      </c>
      <c r="L226" s="98">
        <v>75</v>
      </c>
      <c r="M226" s="98">
        <v>231</v>
      </c>
      <c r="N226" s="18" t="s">
        <v>652</v>
      </c>
    </row>
    <row r="227" ht="54" spans="1:14">
      <c r="A227" s="18">
        <v>244</v>
      </c>
      <c r="B227" s="103" t="s">
        <v>697</v>
      </c>
      <c r="C227" s="18" t="s">
        <v>553</v>
      </c>
      <c r="D227" s="18" t="s">
        <v>23</v>
      </c>
      <c r="E227" s="18" t="s">
        <v>698</v>
      </c>
      <c r="F227" s="18" t="s">
        <v>555</v>
      </c>
      <c r="G227" s="18" t="s">
        <v>556</v>
      </c>
      <c r="H227" s="18" t="s">
        <v>649</v>
      </c>
      <c r="I227" s="67" t="s">
        <v>699</v>
      </c>
      <c r="J227" s="94">
        <v>40.2075</v>
      </c>
      <c r="K227" s="18" t="s">
        <v>651</v>
      </c>
      <c r="L227" s="98">
        <v>75</v>
      </c>
      <c r="M227" s="98">
        <v>270</v>
      </c>
      <c r="N227" s="18" t="s">
        <v>652</v>
      </c>
    </row>
    <row r="228" ht="40.5" spans="1:14">
      <c r="A228" s="18">
        <v>245</v>
      </c>
      <c r="B228" s="103" t="s">
        <v>700</v>
      </c>
      <c r="C228" s="18" t="s">
        <v>553</v>
      </c>
      <c r="D228" s="18" t="s">
        <v>23</v>
      </c>
      <c r="E228" s="18" t="s">
        <v>301</v>
      </c>
      <c r="F228" s="18" t="s">
        <v>555</v>
      </c>
      <c r="G228" s="18" t="s">
        <v>556</v>
      </c>
      <c r="H228" s="18" t="s">
        <v>649</v>
      </c>
      <c r="I228" s="67" t="s">
        <v>701</v>
      </c>
      <c r="J228" s="94">
        <v>41.175</v>
      </c>
      <c r="K228" s="18" t="s">
        <v>651</v>
      </c>
      <c r="L228" s="98">
        <v>80</v>
      </c>
      <c r="M228" s="98">
        <v>320</v>
      </c>
      <c r="N228" s="18" t="s">
        <v>652</v>
      </c>
    </row>
    <row r="229" ht="54" spans="1:14">
      <c r="A229" s="18">
        <v>246</v>
      </c>
      <c r="B229" s="103" t="s">
        <v>702</v>
      </c>
      <c r="C229" s="18" t="s">
        <v>553</v>
      </c>
      <c r="D229" s="18" t="s">
        <v>23</v>
      </c>
      <c r="E229" s="18" t="s">
        <v>703</v>
      </c>
      <c r="F229" s="18" t="s">
        <v>555</v>
      </c>
      <c r="G229" s="18" t="s">
        <v>556</v>
      </c>
      <c r="H229" s="18" t="s">
        <v>649</v>
      </c>
      <c r="I229" s="67" t="s">
        <v>704</v>
      </c>
      <c r="J229" s="94">
        <v>21.096</v>
      </c>
      <c r="K229" s="18" t="s">
        <v>651</v>
      </c>
      <c r="L229" s="18">
        <v>30</v>
      </c>
      <c r="M229" s="18">
        <v>190</v>
      </c>
      <c r="N229" s="18" t="s">
        <v>674</v>
      </c>
    </row>
    <row r="230" ht="40.5" spans="1:14">
      <c r="A230" s="18">
        <v>247</v>
      </c>
      <c r="B230" s="103" t="s">
        <v>705</v>
      </c>
      <c r="C230" s="18" t="s">
        <v>553</v>
      </c>
      <c r="D230" s="18" t="s">
        <v>23</v>
      </c>
      <c r="E230" s="18" t="s">
        <v>706</v>
      </c>
      <c r="F230" s="18" t="s">
        <v>555</v>
      </c>
      <c r="G230" s="18" t="s">
        <v>556</v>
      </c>
      <c r="H230" s="18" t="s">
        <v>649</v>
      </c>
      <c r="I230" s="67" t="s">
        <v>707</v>
      </c>
      <c r="J230" s="94">
        <v>6</v>
      </c>
      <c r="K230" s="18" t="s">
        <v>651</v>
      </c>
      <c r="L230" s="18">
        <v>30</v>
      </c>
      <c r="M230" s="18">
        <v>190</v>
      </c>
      <c r="N230" s="18" t="s">
        <v>674</v>
      </c>
    </row>
    <row r="231" ht="40.5" spans="1:14">
      <c r="A231" s="18">
        <v>248</v>
      </c>
      <c r="B231" s="103" t="s">
        <v>708</v>
      </c>
      <c r="C231" s="18" t="s">
        <v>553</v>
      </c>
      <c r="D231" s="18" t="s">
        <v>23</v>
      </c>
      <c r="E231" s="18" t="s">
        <v>709</v>
      </c>
      <c r="F231" s="18" t="s">
        <v>555</v>
      </c>
      <c r="G231" s="18" t="s">
        <v>556</v>
      </c>
      <c r="H231" s="18" t="s">
        <v>649</v>
      </c>
      <c r="I231" s="67" t="s">
        <v>710</v>
      </c>
      <c r="J231" s="94">
        <v>42.37</v>
      </c>
      <c r="K231" s="18" t="s">
        <v>651</v>
      </c>
      <c r="L231" s="18">
        <v>30</v>
      </c>
      <c r="M231" s="18">
        <v>200</v>
      </c>
      <c r="N231" s="18" t="s">
        <v>674</v>
      </c>
    </row>
    <row r="232" ht="40.5" spans="1:14">
      <c r="A232" s="18">
        <v>249</v>
      </c>
      <c r="B232" s="18" t="s">
        <v>711</v>
      </c>
      <c r="C232" s="18" t="s">
        <v>553</v>
      </c>
      <c r="D232" s="18" t="s">
        <v>23</v>
      </c>
      <c r="E232" s="18" t="s">
        <v>709</v>
      </c>
      <c r="F232" s="18" t="s">
        <v>555</v>
      </c>
      <c r="G232" s="18" t="s">
        <v>556</v>
      </c>
      <c r="H232" s="18" t="s">
        <v>649</v>
      </c>
      <c r="I232" s="67" t="s">
        <v>712</v>
      </c>
      <c r="J232" s="94">
        <v>26.1591</v>
      </c>
      <c r="K232" s="18" t="s">
        <v>651</v>
      </c>
      <c r="L232" s="18">
        <v>30</v>
      </c>
      <c r="M232" s="18">
        <v>200</v>
      </c>
      <c r="N232" s="18" t="s">
        <v>674</v>
      </c>
    </row>
    <row r="233" ht="40.5" spans="1:14">
      <c r="A233" s="18">
        <v>250</v>
      </c>
      <c r="B233" s="18" t="s">
        <v>713</v>
      </c>
      <c r="C233" s="18" t="s">
        <v>553</v>
      </c>
      <c r="D233" s="18" t="s">
        <v>23</v>
      </c>
      <c r="E233" s="18" t="s">
        <v>714</v>
      </c>
      <c r="F233" s="18" t="s">
        <v>555</v>
      </c>
      <c r="G233" s="18" t="s">
        <v>556</v>
      </c>
      <c r="H233" s="18" t="s">
        <v>649</v>
      </c>
      <c r="I233" s="78" t="s">
        <v>715</v>
      </c>
      <c r="J233" s="78">
        <v>46</v>
      </c>
      <c r="K233" s="18" t="s">
        <v>651</v>
      </c>
      <c r="L233" s="98">
        <v>61</v>
      </c>
      <c r="M233" s="98">
        <v>136</v>
      </c>
      <c r="N233" s="18" t="s">
        <v>652</v>
      </c>
    </row>
    <row r="234" ht="40.5" spans="1:14">
      <c r="A234" s="18">
        <v>251</v>
      </c>
      <c r="B234" s="18" t="s">
        <v>716</v>
      </c>
      <c r="C234" s="18" t="s">
        <v>553</v>
      </c>
      <c r="D234" s="18" t="s">
        <v>23</v>
      </c>
      <c r="E234" s="18" t="s">
        <v>717</v>
      </c>
      <c r="F234" s="18" t="s">
        <v>555</v>
      </c>
      <c r="G234" s="18" t="s">
        <v>556</v>
      </c>
      <c r="H234" s="18" t="s">
        <v>649</v>
      </c>
      <c r="I234" s="78" t="s">
        <v>718</v>
      </c>
      <c r="J234" s="78">
        <v>15</v>
      </c>
      <c r="K234" s="18" t="s">
        <v>651</v>
      </c>
      <c r="L234" s="98">
        <v>80</v>
      </c>
      <c r="M234" s="98">
        <v>320</v>
      </c>
      <c r="N234" s="18" t="s">
        <v>652</v>
      </c>
    </row>
    <row r="235" ht="54" spans="1:14">
      <c r="A235" s="18">
        <v>252</v>
      </c>
      <c r="B235" s="104" t="s">
        <v>719</v>
      </c>
      <c r="C235" s="18" t="s">
        <v>553</v>
      </c>
      <c r="D235" s="18" t="s">
        <v>23</v>
      </c>
      <c r="E235" s="78" t="s">
        <v>720</v>
      </c>
      <c r="F235" s="18" t="s">
        <v>555</v>
      </c>
      <c r="G235" s="18" t="s">
        <v>556</v>
      </c>
      <c r="H235" s="18" t="s">
        <v>649</v>
      </c>
      <c r="I235" s="100" t="s">
        <v>721</v>
      </c>
      <c r="J235" s="94">
        <v>10.27</v>
      </c>
      <c r="K235" s="18" t="s">
        <v>651</v>
      </c>
      <c r="L235" s="18">
        <v>302</v>
      </c>
      <c r="M235" s="18">
        <v>1691</v>
      </c>
      <c r="N235" s="18" t="s">
        <v>722</v>
      </c>
    </row>
    <row r="236" ht="27" spans="1:14">
      <c r="A236" s="18">
        <v>253</v>
      </c>
      <c r="B236" s="104" t="s">
        <v>723</v>
      </c>
      <c r="C236" s="18" t="s">
        <v>553</v>
      </c>
      <c r="D236" s="18" t="s">
        <v>23</v>
      </c>
      <c r="E236" s="78" t="s">
        <v>590</v>
      </c>
      <c r="F236" s="18" t="s">
        <v>555</v>
      </c>
      <c r="G236" s="18" t="s">
        <v>556</v>
      </c>
      <c r="H236" s="18" t="s">
        <v>649</v>
      </c>
      <c r="I236" s="100">
        <v>1.405</v>
      </c>
      <c r="J236" s="94">
        <v>21.57</v>
      </c>
      <c r="K236" s="18" t="s">
        <v>651</v>
      </c>
      <c r="L236" s="78">
        <v>43</v>
      </c>
      <c r="M236" s="18">
        <v>522</v>
      </c>
      <c r="N236" s="18" t="s">
        <v>652</v>
      </c>
    </row>
    <row r="237" ht="40.5" spans="1:14">
      <c r="A237" s="18">
        <v>254</v>
      </c>
      <c r="B237" s="104" t="s">
        <v>724</v>
      </c>
      <c r="C237" s="18" t="s">
        <v>553</v>
      </c>
      <c r="D237" s="18" t="s">
        <v>23</v>
      </c>
      <c r="E237" s="78" t="s">
        <v>725</v>
      </c>
      <c r="F237" s="18" t="s">
        <v>555</v>
      </c>
      <c r="G237" s="18" t="s">
        <v>556</v>
      </c>
      <c r="H237" s="18" t="s">
        <v>649</v>
      </c>
      <c r="I237" s="100">
        <v>1.93</v>
      </c>
      <c r="J237" s="94">
        <v>29.6068</v>
      </c>
      <c r="K237" s="18" t="s">
        <v>651</v>
      </c>
      <c r="L237" s="18">
        <v>97</v>
      </c>
      <c r="M237" s="18">
        <v>375</v>
      </c>
      <c r="N237" s="18" t="s">
        <v>726</v>
      </c>
    </row>
    <row r="238" ht="40.5" spans="1:14">
      <c r="A238" s="18">
        <v>255</v>
      </c>
      <c r="B238" s="104" t="s">
        <v>727</v>
      </c>
      <c r="C238" s="18" t="s">
        <v>553</v>
      </c>
      <c r="D238" s="18" t="s">
        <v>23</v>
      </c>
      <c r="E238" s="78" t="s">
        <v>728</v>
      </c>
      <c r="F238" s="18" t="s">
        <v>555</v>
      </c>
      <c r="G238" s="18" t="s">
        <v>556</v>
      </c>
      <c r="H238" s="18" t="s">
        <v>649</v>
      </c>
      <c r="I238" s="100">
        <v>1.735</v>
      </c>
      <c r="J238" s="94">
        <f t="shared" ref="J238:J301" si="4">I238*41.5*0.37</f>
        <v>26.640925</v>
      </c>
      <c r="K238" s="18" t="s">
        <v>651</v>
      </c>
      <c r="L238" s="18">
        <v>42</v>
      </c>
      <c r="M238" s="18">
        <v>163</v>
      </c>
      <c r="N238" s="18" t="s">
        <v>729</v>
      </c>
    </row>
    <row r="239" ht="40.5" spans="1:14">
      <c r="A239" s="18">
        <v>256</v>
      </c>
      <c r="B239" s="104" t="s">
        <v>730</v>
      </c>
      <c r="C239" s="18" t="s">
        <v>553</v>
      </c>
      <c r="D239" s="18" t="s">
        <v>23</v>
      </c>
      <c r="E239" s="78" t="s">
        <v>731</v>
      </c>
      <c r="F239" s="18" t="s">
        <v>555</v>
      </c>
      <c r="G239" s="18" t="s">
        <v>556</v>
      </c>
      <c r="H239" s="18" t="s">
        <v>649</v>
      </c>
      <c r="I239" s="100">
        <v>2.344</v>
      </c>
      <c r="J239" s="94">
        <f t="shared" si="4"/>
        <v>35.99212</v>
      </c>
      <c r="K239" s="18" t="s">
        <v>651</v>
      </c>
      <c r="L239" s="18">
        <v>542</v>
      </c>
      <c r="M239" s="18"/>
      <c r="N239" s="18" t="s">
        <v>652</v>
      </c>
    </row>
    <row r="240" ht="40.5" spans="1:14">
      <c r="A240" s="18">
        <v>257</v>
      </c>
      <c r="B240" s="104" t="s">
        <v>732</v>
      </c>
      <c r="C240" s="18" t="s">
        <v>553</v>
      </c>
      <c r="D240" s="18" t="s">
        <v>23</v>
      </c>
      <c r="E240" s="78" t="s">
        <v>733</v>
      </c>
      <c r="F240" s="18" t="s">
        <v>555</v>
      </c>
      <c r="G240" s="18" t="s">
        <v>556</v>
      </c>
      <c r="H240" s="18" t="s">
        <v>649</v>
      </c>
      <c r="I240" s="100">
        <v>0.7</v>
      </c>
      <c r="J240" s="94">
        <f t="shared" si="4"/>
        <v>10.7485</v>
      </c>
      <c r="K240" s="18" t="s">
        <v>651</v>
      </c>
      <c r="L240" s="18">
        <v>15</v>
      </c>
      <c r="M240" s="18">
        <v>128</v>
      </c>
      <c r="N240" s="18" t="s">
        <v>734</v>
      </c>
    </row>
    <row r="241" ht="40.5" spans="1:14">
      <c r="A241" s="18">
        <v>258</v>
      </c>
      <c r="B241" s="104" t="s">
        <v>735</v>
      </c>
      <c r="C241" s="18" t="s">
        <v>553</v>
      </c>
      <c r="D241" s="18" t="s">
        <v>23</v>
      </c>
      <c r="E241" s="78" t="s">
        <v>736</v>
      </c>
      <c r="F241" s="18" t="s">
        <v>555</v>
      </c>
      <c r="G241" s="18" t="s">
        <v>556</v>
      </c>
      <c r="H241" s="18" t="s">
        <v>649</v>
      </c>
      <c r="I241" s="100">
        <v>2.142</v>
      </c>
      <c r="J241" s="94">
        <f t="shared" si="4"/>
        <v>32.89041</v>
      </c>
      <c r="K241" s="18" t="s">
        <v>651</v>
      </c>
      <c r="L241" s="18">
        <v>213</v>
      </c>
      <c r="M241" s="18">
        <v>634</v>
      </c>
      <c r="N241" s="18" t="s">
        <v>652</v>
      </c>
    </row>
    <row r="242" ht="27" spans="1:14">
      <c r="A242" s="18">
        <v>259</v>
      </c>
      <c r="B242" s="104" t="s">
        <v>737</v>
      </c>
      <c r="C242" s="18" t="s">
        <v>553</v>
      </c>
      <c r="D242" s="18" t="s">
        <v>23</v>
      </c>
      <c r="E242" s="78" t="s">
        <v>738</v>
      </c>
      <c r="F242" s="18" t="s">
        <v>555</v>
      </c>
      <c r="G242" s="18" t="s">
        <v>556</v>
      </c>
      <c r="H242" s="18" t="s">
        <v>649</v>
      </c>
      <c r="I242" s="100">
        <v>1.856</v>
      </c>
      <c r="J242" s="94">
        <f t="shared" si="4"/>
        <v>28.49888</v>
      </c>
      <c r="K242" s="18" t="s">
        <v>651</v>
      </c>
      <c r="L242" s="18">
        <v>203</v>
      </c>
      <c r="M242" s="18">
        <v>1363</v>
      </c>
      <c r="N242" s="18" t="s">
        <v>652</v>
      </c>
    </row>
    <row r="243" ht="27" spans="1:14">
      <c r="A243" s="18">
        <v>260</v>
      </c>
      <c r="B243" s="104" t="s">
        <v>739</v>
      </c>
      <c r="C243" s="18" t="s">
        <v>553</v>
      </c>
      <c r="D243" s="18" t="s">
        <v>23</v>
      </c>
      <c r="E243" s="78" t="s">
        <v>740</v>
      </c>
      <c r="F243" s="18" t="s">
        <v>555</v>
      </c>
      <c r="G243" s="18" t="s">
        <v>556</v>
      </c>
      <c r="H243" s="18" t="s">
        <v>649</v>
      </c>
      <c r="I243" s="100">
        <v>0.261</v>
      </c>
      <c r="J243" s="94">
        <f t="shared" si="4"/>
        <v>4.007655</v>
      </c>
      <c r="K243" s="18" t="s">
        <v>651</v>
      </c>
      <c r="L243" s="18">
        <v>328</v>
      </c>
      <c r="M243" s="18">
        <v>2620</v>
      </c>
      <c r="N243" s="18" t="s">
        <v>652</v>
      </c>
    </row>
    <row r="244" ht="54" customHeight="1" spans="1:14">
      <c r="A244" s="18">
        <v>261</v>
      </c>
      <c r="B244" s="104" t="s">
        <v>741</v>
      </c>
      <c r="C244" s="18" t="s">
        <v>553</v>
      </c>
      <c r="D244" s="18" t="s">
        <v>23</v>
      </c>
      <c r="E244" s="78" t="s">
        <v>742</v>
      </c>
      <c r="F244" s="18" t="s">
        <v>555</v>
      </c>
      <c r="G244" s="18" t="s">
        <v>556</v>
      </c>
      <c r="H244" s="18" t="s">
        <v>649</v>
      </c>
      <c r="I244" s="100">
        <v>1.596</v>
      </c>
      <c r="J244" s="94">
        <f t="shared" si="4"/>
        <v>24.50658</v>
      </c>
      <c r="K244" s="18" t="s">
        <v>651</v>
      </c>
      <c r="L244" s="18">
        <v>185</v>
      </c>
      <c r="M244" s="18">
        <v>1422</v>
      </c>
      <c r="N244" s="18" t="s">
        <v>652</v>
      </c>
    </row>
    <row r="245" ht="73.95" customHeight="1" spans="1:14">
      <c r="A245" s="18">
        <v>262</v>
      </c>
      <c r="B245" s="104" t="s">
        <v>743</v>
      </c>
      <c r="C245" s="18" t="s">
        <v>553</v>
      </c>
      <c r="D245" s="18" t="s">
        <v>23</v>
      </c>
      <c r="E245" s="78" t="s">
        <v>742</v>
      </c>
      <c r="F245" s="18" t="s">
        <v>555</v>
      </c>
      <c r="G245" s="18" t="s">
        <v>556</v>
      </c>
      <c r="H245" s="18" t="s">
        <v>649</v>
      </c>
      <c r="I245" s="100">
        <v>0.616</v>
      </c>
      <c r="J245" s="94">
        <f t="shared" si="4"/>
        <v>9.45868</v>
      </c>
      <c r="K245" s="18" t="s">
        <v>651</v>
      </c>
      <c r="L245" s="18">
        <v>185</v>
      </c>
      <c r="M245" s="18">
        <v>1422</v>
      </c>
      <c r="N245" s="18" t="s">
        <v>652</v>
      </c>
    </row>
    <row r="246" ht="40.5" spans="1:14">
      <c r="A246" s="18">
        <v>263</v>
      </c>
      <c r="B246" s="104" t="s">
        <v>744</v>
      </c>
      <c r="C246" s="18" t="s">
        <v>553</v>
      </c>
      <c r="D246" s="18" t="s">
        <v>23</v>
      </c>
      <c r="E246" s="78" t="s">
        <v>659</v>
      </c>
      <c r="F246" s="18" t="s">
        <v>555</v>
      </c>
      <c r="G246" s="18" t="s">
        <v>556</v>
      </c>
      <c r="H246" s="18" t="s">
        <v>649</v>
      </c>
      <c r="I246" s="100">
        <v>0.297</v>
      </c>
      <c r="J246" s="94">
        <f t="shared" si="4"/>
        <v>4.560435</v>
      </c>
      <c r="K246" s="18" t="s">
        <v>651</v>
      </c>
      <c r="L246" s="18">
        <v>112</v>
      </c>
      <c r="M246" s="18">
        <v>1827</v>
      </c>
      <c r="N246" s="18" t="s">
        <v>652</v>
      </c>
    </row>
    <row r="247" ht="27" spans="1:14">
      <c r="A247" s="18">
        <v>264</v>
      </c>
      <c r="B247" s="104" t="s">
        <v>745</v>
      </c>
      <c r="C247" s="18" t="s">
        <v>553</v>
      </c>
      <c r="D247" s="18" t="s">
        <v>23</v>
      </c>
      <c r="E247" s="78" t="s">
        <v>659</v>
      </c>
      <c r="F247" s="18" t="s">
        <v>555</v>
      </c>
      <c r="G247" s="18" t="s">
        <v>556</v>
      </c>
      <c r="H247" s="18" t="s">
        <v>649</v>
      </c>
      <c r="I247" s="100">
        <v>0.266</v>
      </c>
      <c r="J247" s="94">
        <f t="shared" si="4"/>
        <v>4.08443</v>
      </c>
      <c r="K247" s="18" t="s">
        <v>651</v>
      </c>
      <c r="L247" s="18">
        <v>112</v>
      </c>
      <c r="M247" s="18">
        <v>1827</v>
      </c>
      <c r="N247" s="18" t="s">
        <v>652</v>
      </c>
    </row>
    <row r="248" ht="40.5" spans="1:14">
      <c r="A248" s="18">
        <v>265</v>
      </c>
      <c r="B248" s="104" t="s">
        <v>746</v>
      </c>
      <c r="C248" s="18" t="s">
        <v>553</v>
      </c>
      <c r="D248" s="18" t="s">
        <v>23</v>
      </c>
      <c r="E248" s="78" t="s">
        <v>747</v>
      </c>
      <c r="F248" s="18" t="s">
        <v>555</v>
      </c>
      <c r="G248" s="18" t="s">
        <v>556</v>
      </c>
      <c r="H248" s="18" t="s">
        <v>649</v>
      </c>
      <c r="I248" s="100">
        <v>0.154</v>
      </c>
      <c r="J248" s="94">
        <f t="shared" si="4"/>
        <v>2.36467</v>
      </c>
      <c r="K248" s="18" t="s">
        <v>651</v>
      </c>
      <c r="L248" s="18">
        <v>59</v>
      </c>
      <c r="M248" s="18">
        <v>1188</v>
      </c>
      <c r="N248" s="18" t="s">
        <v>652</v>
      </c>
    </row>
    <row r="249" ht="27" spans="1:14">
      <c r="A249" s="18">
        <v>266</v>
      </c>
      <c r="B249" s="104" t="s">
        <v>748</v>
      </c>
      <c r="C249" s="18" t="s">
        <v>553</v>
      </c>
      <c r="D249" s="18" t="s">
        <v>23</v>
      </c>
      <c r="E249" s="78" t="s">
        <v>749</v>
      </c>
      <c r="F249" s="18" t="s">
        <v>555</v>
      </c>
      <c r="G249" s="18" t="s">
        <v>556</v>
      </c>
      <c r="H249" s="18" t="s">
        <v>649</v>
      </c>
      <c r="I249" s="100">
        <v>1.008</v>
      </c>
      <c r="J249" s="94">
        <f t="shared" si="4"/>
        <v>15.47784</v>
      </c>
      <c r="K249" s="18" t="s">
        <v>651</v>
      </c>
      <c r="L249" s="18">
        <v>407</v>
      </c>
      <c r="M249" s="18">
        <v>2709</v>
      </c>
      <c r="N249" s="18" t="s">
        <v>652</v>
      </c>
    </row>
    <row r="250" ht="27" spans="1:14">
      <c r="A250" s="18">
        <v>267</v>
      </c>
      <c r="B250" s="104" t="s">
        <v>750</v>
      </c>
      <c r="C250" s="18" t="s">
        <v>553</v>
      </c>
      <c r="D250" s="18" t="s">
        <v>23</v>
      </c>
      <c r="E250" s="78" t="s">
        <v>751</v>
      </c>
      <c r="F250" s="18" t="s">
        <v>555</v>
      </c>
      <c r="G250" s="18" t="s">
        <v>556</v>
      </c>
      <c r="H250" s="18" t="s">
        <v>649</v>
      </c>
      <c r="I250" s="100">
        <v>1.124</v>
      </c>
      <c r="J250" s="94">
        <f t="shared" si="4"/>
        <v>17.25902</v>
      </c>
      <c r="K250" s="18" t="s">
        <v>651</v>
      </c>
      <c r="L250" s="18">
        <v>549</v>
      </c>
      <c r="M250" s="18">
        <v>2193</v>
      </c>
      <c r="N250" s="18" t="s">
        <v>752</v>
      </c>
    </row>
    <row r="251" ht="27" spans="1:14">
      <c r="A251" s="18">
        <v>268</v>
      </c>
      <c r="B251" s="104" t="s">
        <v>753</v>
      </c>
      <c r="C251" s="18" t="s">
        <v>553</v>
      </c>
      <c r="D251" s="18" t="s">
        <v>23</v>
      </c>
      <c r="E251" s="78" t="s">
        <v>754</v>
      </c>
      <c r="F251" s="18" t="s">
        <v>555</v>
      </c>
      <c r="G251" s="18" t="s">
        <v>556</v>
      </c>
      <c r="H251" s="18" t="s">
        <v>649</v>
      </c>
      <c r="I251" s="100">
        <v>0.313</v>
      </c>
      <c r="J251" s="94">
        <f t="shared" si="4"/>
        <v>4.806115</v>
      </c>
      <c r="K251" s="18" t="s">
        <v>651</v>
      </c>
      <c r="L251" s="18">
        <v>549</v>
      </c>
      <c r="M251" s="18">
        <v>2193</v>
      </c>
      <c r="N251" s="18" t="s">
        <v>752</v>
      </c>
    </row>
    <row r="252" ht="27" spans="1:14">
      <c r="A252" s="18">
        <v>269</v>
      </c>
      <c r="B252" s="104" t="s">
        <v>755</v>
      </c>
      <c r="C252" s="18" t="s">
        <v>553</v>
      </c>
      <c r="D252" s="18" t="s">
        <v>23</v>
      </c>
      <c r="E252" s="78" t="s">
        <v>756</v>
      </c>
      <c r="F252" s="18" t="s">
        <v>555</v>
      </c>
      <c r="G252" s="18" t="s">
        <v>556</v>
      </c>
      <c r="H252" s="18" t="s">
        <v>649</v>
      </c>
      <c r="I252" s="100">
        <v>0.53</v>
      </c>
      <c r="J252" s="94">
        <f t="shared" si="4"/>
        <v>8.13815</v>
      </c>
      <c r="K252" s="18" t="s">
        <v>651</v>
      </c>
      <c r="L252" s="18">
        <v>11</v>
      </c>
      <c r="M252" s="18">
        <v>110</v>
      </c>
      <c r="N252" s="18" t="s">
        <v>652</v>
      </c>
    </row>
    <row r="253" ht="40.5" spans="1:14">
      <c r="A253" s="18">
        <v>270</v>
      </c>
      <c r="B253" s="104" t="s">
        <v>757</v>
      </c>
      <c r="C253" s="18" t="s">
        <v>553</v>
      </c>
      <c r="D253" s="18" t="s">
        <v>23</v>
      </c>
      <c r="E253" s="78" t="s">
        <v>648</v>
      </c>
      <c r="F253" s="18" t="s">
        <v>555</v>
      </c>
      <c r="G253" s="18" t="s">
        <v>556</v>
      </c>
      <c r="H253" s="18" t="s">
        <v>649</v>
      </c>
      <c r="I253" s="100">
        <v>0.515</v>
      </c>
      <c r="J253" s="94">
        <f t="shared" si="4"/>
        <v>7.907825</v>
      </c>
      <c r="K253" s="18" t="s">
        <v>651</v>
      </c>
      <c r="L253" s="18">
        <v>140</v>
      </c>
      <c r="M253" s="18">
        <v>850</v>
      </c>
      <c r="N253" s="18" t="s">
        <v>652</v>
      </c>
    </row>
    <row r="254" ht="40.5" spans="1:14">
      <c r="A254" s="18">
        <v>271</v>
      </c>
      <c r="B254" s="104" t="s">
        <v>757</v>
      </c>
      <c r="C254" s="18" t="s">
        <v>553</v>
      </c>
      <c r="D254" s="18" t="s">
        <v>23</v>
      </c>
      <c r="E254" s="78" t="s">
        <v>648</v>
      </c>
      <c r="F254" s="18" t="s">
        <v>555</v>
      </c>
      <c r="G254" s="18" t="s">
        <v>556</v>
      </c>
      <c r="H254" s="18" t="s">
        <v>649</v>
      </c>
      <c r="I254" s="100">
        <v>0.087</v>
      </c>
      <c r="J254" s="94">
        <f t="shared" si="4"/>
        <v>1.335885</v>
      </c>
      <c r="K254" s="18" t="s">
        <v>651</v>
      </c>
      <c r="L254" s="18">
        <v>141</v>
      </c>
      <c r="M254" s="18">
        <v>850</v>
      </c>
      <c r="N254" s="18" t="s">
        <v>652</v>
      </c>
    </row>
    <row r="255" ht="40.5" spans="1:14">
      <c r="A255" s="18">
        <v>272</v>
      </c>
      <c r="B255" s="104" t="s">
        <v>758</v>
      </c>
      <c r="C255" s="18" t="s">
        <v>553</v>
      </c>
      <c r="D255" s="18" t="s">
        <v>23</v>
      </c>
      <c r="E255" s="78" t="s">
        <v>759</v>
      </c>
      <c r="F255" s="18" t="s">
        <v>555</v>
      </c>
      <c r="G255" s="18" t="s">
        <v>556</v>
      </c>
      <c r="H255" s="18" t="s">
        <v>649</v>
      </c>
      <c r="I255" s="100">
        <v>2.976</v>
      </c>
      <c r="J255" s="94">
        <f t="shared" si="4"/>
        <v>45.69648</v>
      </c>
      <c r="K255" s="18" t="s">
        <v>651</v>
      </c>
      <c r="L255" s="18">
        <v>307</v>
      </c>
      <c r="M255" s="18">
        <v>2111</v>
      </c>
      <c r="N255" s="18" t="s">
        <v>652</v>
      </c>
    </row>
    <row r="256" ht="40.5" spans="1:14">
      <c r="A256" s="18">
        <v>273</v>
      </c>
      <c r="B256" s="104" t="s">
        <v>760</v>
      </c>
      <c r="C256" s="18" t="s">
        <v>553</v>
      </c>
      <c r="D256" s="18" t="s">
        <v>23</v>
      </c>
      <c r="E256" s="78" t="s">
        <v>761</v>
      </c>
      <c r="F256" s="18" t="s">
        <v>555</v>
      </c>
      <c r="G256" s="18" t="s">
        <v>556</v>
      </c>
      <c r="H256" s="18" t="s">
        <v>649</v>
      </c>
      <c r="I256" s="100">
        <v>1.617</v>
      </c>
      <c r="J256" s="94">
        <f t="shared" si="4"/>
        <v>24.829035</v>
      </c>
      <c r="K256" s="18" t="s">
        <v>651</v>
      </c>
      <c r="L256" s="18">
        <v>45</v>
      </c>
      <c r="M256" s="18">
        <v>300</v>
      </c>
      <c r="N256" s="18" t="s">
        <v>652</v>
      </c>
    </row>
    <row r="257" ht="27" spans="1:14">
      <c r="A257" s="18">
        <v>274</v>
      </c>
      <c r="B257" s="104" t="s">
        <v>762</v>
      </c>
      <c r="C257" s="18" t="s">
        <v>553</v>
      </c>
      <c r="D257" s="18" t="s">
        <v>23</v>
      </c>
      <c r="E257" s="78" t="s">
        <v>763</v>
      </c>
      <c r="F257" s="18" t="s">
        <v>555</v>
      </c>
      <c r="G257" s="18" t="s">
        <v>556</v>
      </c>
      <c r="H257" s="18" t="s">
        <v>649</v>
      </c>
      <c r="I257" s="100">
        <v>0.609</v>
      </c>
      <c r="J257" s="94">
        <f t="shared" si="4"/>
        <v>9.351195</v>
      </c>
      <c r="K257" s="18" t="s">
        <v>651</v>
      </c>
      <c r="L257" s="18">
        <v>45</v>
      </c>
      <c r="M257" s="18">
        <v>300</v>
      </c>
      <c r="N257" s="18" t="s">
        <v>652</v>
      </c>
    </row>
    <row r="258" ht="40.5" spans="1:14">
      <c r="A258" s="18">
        <v>275</v>
      </c>
      <c r="B258" s="104" t="s">
        <v>764</v>
      </c>
      <c r="C258" s="18" t="s">
        <v>553</v>
      </c>
      <c r="D258" s="18" t="s">
        <v>23</v>
      </c>
      <c r="E258" s="78" t="s">
        <v>765</v>
      </c>
      <c r="F258" s="18" t="s">
        <v>555</v>
      </c>
      <c r="G258" s="18" t="s">
        <v>556</v>
      </c>
      <c r="H258" s="18" t="s">
        <v>649</v>
      </c>
      <c r="I258" s="100">
        <v>1.833</v>
      </c>
      <c r="J258" s="94">
        <f t="shared" si="4"/>
        <v>28.145715</v>
      </c>
      <c r="K258" s="18" t="s">
        <v>651</v>
      </c>
      <c r="L258" s="18">
        <v>307</v>
      </c>
      <c r="M258" s="18">
        <v>2111</v>
      </c>
      <c r="N258" s="18" t="s">
        <v>652</v>
      </c>
    </row>
    <row r="259" ht="40.5" spans="1:14">
      <c r="A259" s="18">
        <v>276</v>
      </c>
      <c r="B259" s="104" t="s">
        <v>766</v>
      </c>
      <c r="C259" s="18" t="s">
        <v>553</v>
      </c>
      <c r="D259" s="18" t="s">
        <v>23</v>
      </c>
      <c r="E259" s="78" t="s">
        <v>761</v>
      </c>
      <c r="F259" s="18" t="s">
        <v>555</v>
      </c>
      <c r="G259" s="18" t="s">
        <v>556</v>
      </c>
      <c r="H259" s="18" t="s">
        <v>649</v>
      </c>
      <c r="I259" s="100">
        <v>1.291</v>
      </c>
      <c r="J259" s="94">
        <f t="shared" si="4"/>
        <v>19.823305</v>
      </c>
      <c r="K259" s="18" t="s">
        <v>651</v>
      </c>
      <c r="L259" s="18">
        <v>48</v>
      </c>
      <c r="M259" s="18">
        <v>308</v>
      </c>
      <c r="N259" s="18" t="s">
        <v>652</v>
      </c>
    </row>
    <row r="260" ht="40.5" spans="1:14">
      <c r="A260" s="18">
        <v>277</v>
      </c>
      <c r="B260" s="104" t="s">
        <v>767</v>
      </c>
      <c r="C260" s="18" t="s">
        <v>553</v>
      </c>
      <c r="D260" s="18" t="s">
        <v>23</v>
      </c>
      <c r="E260" s="78" t="s">
        <v>761</v>
      </c>
      <c r="F260" s="18" t="s">
        <v>555</v>
      </c>
      <c r="G260" s="18" t="s">
        <v>556</v>
      </c>
      <c r="H260" s="18" t="s">
        <v>649</v>
      </c>
      <c r="I260" s="100">
        <v>0.852</v>
      </c>
      <c r="J260" s="94">
        <f t="shared" si="4"/>
        <v>13.08246</v>
      </c>
      <c r="K260" s="18" t="s">
        <v>651</v>
      </c>
      <c r="L260" s="18">
        <v>20</v>
      </c>
      <c r="M260" s="18">
        <v>120</v>
      </c>
      <c r="N260" s="18" t="s">
        <v>652</v>
      </c>
    </row>
    <row r="261" ht="40.5" spans="1:14">
      <c r="A261" s="18">
        <v>278</v>
      </c>
      <c r="B261" s="104" t="s">
        <v>768</v>
      </c>
      <c r="C261" s="18" t="s">
        <v>553</v>
      </c>
      <c r="D261" s="18" t="s">
        <v>23</v>
      </c>
      <c r="E261" s="78" t="s">
        <v>769</v>
      </c>
      <c r="F261" s="18" t="s">
        <v>555</v>
      </c>
      <c r="G261" s="18" t="s">
        <v>556</v>
      </c>
      <c r="H261" s="18" t="s">
        <v>649</v>
      </c>
      <c r="I261" s="100">
        <v>0.923</v>
      </c>
      <c r="J261" s="94">
        <f t="shared" si="4"/>
        <v>14.172665</v>
      </c>
      <c r="K261" s="18" t="s">
        <v>651</v>
      </c>
      <c r="L261" s="18">
        <v>121</v>
      </c>
      <c r="M261" s="18">
        <v>816</v>
      </c>
      <c r="N261" s="18" t="s">
        <v>652</v>
      </c>
    </row>
    <row r="262" ht="27" spans="1:14">
      <c r="A262" s="18">
        <v>279</v>
      </c>
      <c r="B262" s="104" t="s">
        <v>770</v>
      </c>
      <c r="C262" s="18" t="s">
        <v>553</v>
      </c>
      <c r="D262" s="18" t="s">
        <v>23</v>
      </c>
      <c r="E262" s="78" t="s">
        <v>771</v>
      </c>
      <c r="F262" s="18" t="s">
        <v>555</v>
      </c>
      <c r="G262" s="18" t="s">
        <v>556</v>
      </c>
      <c r="H262" s="18" t="s">
        <v>649</v>
      </c>
      <c r="I262" s="100">
        <v>0.77</v>
      </c>
      <c r="J262" s="94">
        <f t="shared" si="4"/>
        <v>11.82335</v>
      </c>
      <c r="K262" s="18" t="s">
        <v>651</v>
      </c>
      <c r="L262" s="18">
        <v>266</v>
      </c>
      <c r="M262" s="18">
        <v>793</v>
      </c>
      <c r="N262" s="18" t="s">
        <v>772</v>
      </c>
    </row>
    <row r="263" ht="40.5" spans="1:14">
      <c r="A263" s="18">
        <v>280</v>
      </c>
      <c r="B263" s="104" t="s">
        <v>773</v>
      </c>
      <c r="C263" s="18" t="s">
        <v>553</v>
      </c>
      <c r="D263" s="18" t="s">
        <v>23</v>
      </c>
      <c r="E263" s="78" t="s">
        <v>774</v>
      </c>
      <c r="F263" s="18" t="s">
        <v>555</v>
      </c>
      <c r="G263" s="18" t="s">
        <v>556</v>
      </c>
      <c r="H263" s="18" t="s">
        <v>649</v>
      </c>
      <c r="I263" s="100">
        <v>0.343</v>
      </c>
      <c r="J263" s="94">
        <f t="shared" si="4"/>
        <v>5.266765</v>
      </c>
      <c r="K263" s="18" t="s">
        <v>651</v>
      </c>
      <c r="L263" s="18">
        <v>51</v>
      </c>
      <c r="M263" s="18">
        <v>372</v>
      </c>
      <c r="N263" s="18" t="s">
        <v>775</v>
      </c>
    </row>
    <row r="264" ht="27" spans="1:14">
      <c r="A264" s="18">
        <v>281</v>
      </c>
      <c r="B264" s="104" t="s">
        <v>776</v>
      </c>
      <c r="C264" s="18" t="s">
        <v>553</v>
      </c>
      <c r="D264" s="18" t="s">
        <v>23</v>
      </c>
      <c r="E264" s="78" t="s">
        <v>777</v>
      </c>
      <c r="F264" s="18" t="s">
        <v>555</v>
      </c>
      <c r="G264" s="18" t="s">
        <v>556</v>
      </c>
      <c r="H264" s="18" t="s">
        <v>649</v>
      </c>
      <c r="I264" s="100">
        <v>0.13</v>
      </c>
      <c r="J264" s="94">
        <f t="shared" si="4"/>
        <v>1.99615</v>
      </c>
      <c r="K264" s="18" t="s">
        <v>651</v>
      </c>
      <c r="L264" s="18">
        <v>150</v>
      </c>
      <c r="M264" s="18">
        <v>800</v>
      </c>
      <c r="N264" s="18" t="s">
        <v>778</v>
      </c>
    </row>
    <row r="265" ht="40.5" spans="1:14">
      <c r="A265" s="18">
        <v>282</v>
      </c>
      <c r="B265" s="104" t="s">
        <v>779</v>
      </c>
      <c r="C265" s="18" t="s">
        <v>553</v>
      </c>
      <c r="D265" s="18" t="s">
        <v>23</v>
      </c>
      <c r="E265" s="78" t="s">
        <v>780</v>
      </c>
      <c r="F265" s="18" t="s">
        <v>555</v>
      </c>
      <c r="G265" s="18" t="s">
        <v>556</v>
      </c>
      <c r="H265" s="18" t="s">
        <v>649</v>
      </c>
      <c r="I265" s="100">
        <v>0.716</v>
      </c>
      <c r="J265" s="94">
        <f t="shared" si="4"/>
        <v>10.99418</v>
      </c>
      <c r="K265" s="18" t="s">
        <v>651</v>
      </c>
      <c r="L265" s="78">
        <v>45</v>
      </c>
      <c r="M265" s="18">
        <v>234</v>
      </c>
      <c r="N265" s="18" t="s">
        <v>652</v>
      </c>
    </row>
    <row r="266" ht="40.5" spans="1:14">
      <c r="A266" s="18">
        <v>283</v>
      </c>
      <c r="B266" s="104" t="s">
        <v>781</v>
      </c>
      <c r="C266" s="18" t="s">
        <v>553</v>
      </c>
      <c r="D266" s="18" t="s">
        <v>23</v>
      </c>
      <c r="E266" s="78" t="s">
        <v>780</v>
      </c>
      <c r="F266" s="18" t="s">
        <v>555</v>
      </c>
      <c r="G266" s="18" t="s">
        <v>556</v>
      </c>
      <c r="H266" s="18" t="s">
        <v>649</v>
      </c>
      <c r="I266" s="100">
        <v>0.454</v>
      </c>
      <c r="J266" s="94">
        <f t="shared" si="4"/>
        <v>6.97117</v>
      </c>
      <c r="K266" s="18" t="s">
        <v>651</v>
      </c>
      <c r="L266" s="18">
        <v>28</v>
      </c>
      <c r="M266" s="18">
        <v>289</v>
      </c>
      <c r="N266" s="18" t="s">
        <v>674</v>
      </c>
    </row>
    <row r="267" ht="27" spans="1:14">
      <c r="A267" s="18">
        <v>284</v>
      </c>
      <c r="B267" s="104" t="s">
        <v>782</v>
      </c>
      <c r="C267" s="18" t="s">
        <v>553</v>
      </c>
      <c r="D267" s="18" t="s">
        <v>23</v>
      </c>
      <c r="E267" s="78" t="s">
        <v>706</v>
      </c>
      <c r="F267" s="18" t="s">
        <v>555</v>
      </c>
      <c r="G267" s="18" t="s">
        <v>556</v>
      </c>
      <c r="H267" s="18" t="s">
        <v>649</v>
      </c>
      <c r="I267" s="100">
        <v>0.202</v>
      </c>
      <c r="J267" s="94">
        <f t="shared" si="4"/>
        <v>3.10171</v>
      </c>
      <c r="K267" s="18" t="s">
        <v>651</v>
      </c>
      <c r="L267" s="78">
        <v>59</v>
      </c>
      <c r="M267" s="18">
        <v>346</v>
      </c>
      <c r="N267" s="18" t="s">
        <v>783</v>
      </c>
    </row>
    <row r="268" ht="27" spans="1:14">
      <c r="A268" s="18">
        <v>285</v>
      </c>
      <c r="B268" s="104" t="s">
        <v>784</v>
      </c>
      <c r="C268" s="18" t="s">
        <v>553</v>
      </c>
      <c r="D268" s="18" t="s">
        <v>23</v>
      </c>
      <c r="E268" s="78" t="s">
        <v>785</v>
      </c>
      <c r="F268" s="18" t="s">
        <v>555</v>
      </c>
      <c r="G268" s="18" t="s">
        <v>556</v>
      </c>
      <c r="H268" s="18" t="s">
        <v>649</v>
      </c>
      <c r="I268" s="100">
        <v>2.069</v>
      </c>
      <c r="J268" s="94">
        <f t="shared" si="4"/>
        <v>31.769495</v>
      </c>
      <c r="K268" s="18" t="s">
        <v>651</v>
      </c>
      <c r="L268" s="18">
        <v>30</v>
      </c>
      <c r="M268" s="18">
        <v>142</v>
      </c>
      <c r="N268" s="18" t="s">
        <v>674</v>
      </c>
    </row>
    <row r="269" ht="27" spans="1:14">
      <c r="A269" s="18">
        <v>286</v>
      </c>
      <c r="B269" s="104" t="s">
        <v>786</v>
      </c>
      <c r="C269" s="18" t="s">
        <v>553</v>
      </c>
      <c r="D269" s="18" t="s">
        <v>23</v>
      </c>
      <c r="E269" s="78" t="s">
        <v>787</v>
      </c>
      <c r="F269" s="18" t="s">
        <v>555</v>
      </c>
      <c r="G269" s="18" t="s">
        <v>556</v>
      </c>
      <c r="H269" s="18" t="s">
        <v>649</v>
      </c>
      <c r="I269" s="100">
        <v>0.347</v>
      </c>
      <c r="J269" s="94">
        <f t="shared" si="4"/>
        <v>5.328185</v>
      </c>
      <c r="K269" s="18" t="s">
        <v>651</v>
      </c>
      <c r="L269" s="18">
        <v>25</v>
      </c>
      <c r="M269" s="18">
        <v>128</v>
      </c>
      <c r="N269" s="18" t="s">
        <v>674</v>
      </c>
    </row>
    <row r="270" ht="40.5" spans="1:14">
      <c r="A270" s="18">
        <v>287</v>
      </c>
      <c r="B270" s="104" t="s">
        <v>788</v>
      </c>
      <c r="C270" s="18" t="s">
        <v>553</v>
      </c>
      <c r="D270" s="18" t="s">
        <v>23</v>
      </c>
      <c r="E270" s="78" t="s">
        <v>789</v>
      </c>
      <c r="F270" s="18" t="s">
        <v>555</v>
      </c>
      <c r="G270" s="18" t="s">
        <v>556</v>
      </c>
      <c r="H270" s="18" t="s">
        <v>649</v>
      </c>
      <c r="I270" s="100">
        <v>0.266</v>
      </c>
      <c r="J270" s="94">
        <f t="shared" si="4"/>
        <v>4.08443</v>
      </c>
      <c r="K270" s="18" t="s">
        <v>651</v>
      </c>
      <c r="L270" s="78">
        <v>39</v>
      </c>
      <c r="M270" s="18">
        <v>233</v>
      </c>
      <c r="N270" s="18" t="s">
        <v>652</v>
      </c>
    </row>
    <row r="271" ht="40.5" spans="1:14">
      <c r="A271" s="18">
        <v>288</v>
      </c>
      <c r="B271" s="104" t="s">
        <v>790</v>
      </c>
      <c r="C271" s="18" t="s">
        <v>553</v>
      </c>
      <c r="D271" s="18" t="s">
        <v>23</v>
      </c>
      <c r="E271" s="78" t="s">
        <v>502</v>
      </c>
      <c r="F271" s="18" t="s">
        <v>555</v>
      </c>
      <c r="G271" s="18" t="s">
        <v>556</v>
      </c>
      <c r="H271" s="18" t="s">
        <v>649</v>
      </c>
      <c r="I271" s="100">
        <v>0.949</v>
      </c>
      <c r="J271" s="94">
        <f t="shared" si="4"/>
        <v>14.571895</v>
      </c>
      <c r="K271" s="18" t="s">
        <v>651</v>
      </c>
      <c r="L271" s="18">
        <v>40</v>
      </c>
      <c r="M271" s="18">
        <v>623</v>
      </c>
      <c r="N271" s="18" t="s">
        <v>674</v>
      </c>
    </row>
    <row r="272" ht="40.5" spans="1:14">
      <c r="A272" s="18">
        <v>289</v>
      </c>
      <c r="B272" s="104" t="s">
        <v>791</v>
      </c>
      <c r="C272" s="18" t="s">
        <v>553</v>
      </c>
      <c r="D272" s="18" t="s">
        <v>23</v>
      </c>
      <c r="E272" s="78" t="s">
        <v>502</v>
      </c>
      <c r="F272" s="18" t="s">
        <v>555</v>
      </c>
      <c r="G272" s="18" t="s">
        <v>556</v>
      </c>
      <c r="H272" s="18" t="s">
        <v>649</v>
      </c>
      <c r="I272" s="100">
        <v>3.269</v>
      </c>
      <c r="J272" s="94">
        <f t="shared" si="4"/>
        <v>50.195495</v>
      </c>
      <c r="K272" s="18" t="s">
        <v>651</v>
      </c>
      <c r="L272" s="18">
        <v>65</v>
      </c>
      <c r="M272" s="18">
        <v>511</v>
      </c>
      <c r="N272" s="18" t="s">
        <v>674</v>
      </c>
    </row>
    <row r="273" ht="40.5" spans="1:14">
      <c r="A273" s="18">
        <v>290</v>
      </c>
      <c r="B273" s="104" t="s">
        <v>792</v>
      </c>
      <c r="C273" s="18" t="s">
        <v>553</v>
      </c>
      <c r="D273" s="18" t="s">
        <v>23</v>
      </c>
      <c r="E273" s="78" t="s">
        <v>502</v>
      </c>
      <c r="F273" s="18" t="s">
        <v>555</v>
      </c>
      <c r="G273" s="18" t="s">
        <v>556</v>
      </c>
      <c r="H273" s="18" t="s">
        <v>649</v>
      </c>
      <c r="I273" s="100">
        <v>0.958</v>
      </c>
      <c r="J273" s="94">
        <f t="shared" si="4"/>
        <v>14.71009</v>
      </c>
      <c r="K273" s="18" t="s">
        <v>651</v>
      </c>
      <c r="L273" s="18">
        <v>44</v>
      </c>
      <c r="M273" s="18">
        <v>411</v>
      </c>
      <c r="N273" s="18" t="s">
        <v>674</v>
      </c>
    </row>
    <row r="274" ht="40.5" spans="1:14">
      <c r="A274" s="18">
        <v>291</v>
      </c>
      <c r="B274" s="104" t="s">
        <v>793</v>
      </c>
      <c r="C274" s="18" t="s">
        <v>553</v>
      </c>
      <c r="D274" s="18" t="s">
        <v>23</v>
      </c>
      <c r="E274" s="78" t="s">
        <v>794</v>
      </c>
      <c r="F274" s="18" t="s">
        <v>555</v>
      </c>
      <c r="G274" s="18" t="s">
        <v>556</v>
      </c>
      <c r="H274" s="18" t="s">
        <v>649</v>
      </c>
      <c r="I274" s="100">
        <v>1.639</v>
      </c>
      <c r="J274" s="94">
        <f t="shared" si="4"/>
        <v>25.166845</v>
      </c>
      <c r="K274" s="18" t="s">
        <v>651</v>
      </c>
      <c r="L274" s="18">
        <v>182</v>
      </c>
      <c r="M274" s="18">
        <v>1521</v>
      </c>
      <c r="N274" s="18" t="s">
        <v>674</v>
      </c>
    </row>
    <row r="275" ht="40.5" spans="1:14">
      <c r="A275" s="18">
        <v>292</v>
      </c>
      <c r="B275" s="104" t="s">
        <v>795</v>
      </c>
      <c r="C275" s="18" t="s">
        <v>553</v>
      </c>
      <c r="D275" s="18" t="s">
        <v>23</v>
      </c>
      <c r="E275" s="78" t="s">
        <v>796</v>
      </c>
      <c r="F275" s="18" t="s">
        <v>555</v>
      </c>
      <c r="G275" s="18" t="s">
        <v>556</v>
      </c>
      <c r="H275" s="18" t="s">
        <v>649</v>
      </c>
      <c r="I275" s="100">
        <v>0.156</v>
      </c>
      <c r="J275" s="94">
        <f t="shared" si="4"/>
        <v>2.39538</v>
      </c>
      <c r="K275" s="18" t="s">
        <v>651</v>
      </c>
      <c r="L275" s="18" t="s">
        <v>797</v>
      </c>
      <c r="M275" s="18" t="s">
        <v>798</v>
      </c>
      <c r="N275" s="18" t="s">
        <v>799</v>
      </c>
    </row>
    <row r="276" ht="27" spans="1:14">
      <c r="A276" s="18">
        <v>293</v>
      </c>
      <c r="B276" s="104" t="s">
        <v>800</v>
      </c>
      <c r="C276" s="18" t="s">
        <v>553</v>
      </c>
      <c r="D276" s="18" t="s">
        <v>23</v>
      </c>
      <c r="E276" s="78" t="s">
        <v>801</v>
      </c>
      <c r="F276" s="18" t="s">
        <v>555</v>
      </c>
      <c r="G276" s="18" t="s">
        <v>556</v>
      </c>
      <c r="H276" s="18" t="s">
        <v>649</v>
      </c>
      <c r="I276" s="100">
        <v>1.297</v>
      </c>
      <c r="J276" s="94">
        <f t="shared" si="4"/>
        <v>19.915435</v>
      </c>
      <c r="K276" s="18" t="s">
        <v>651</v>
      </c>
      <c r="L276" s="18">
        <v>62</v>
      </c>
      <c r="M276" s="18">
        <v>1710</v>
      </c>
      <c r="N276" s="18" t="s">
        <v>802</v>
      </c>
    </row>
    <row r="277" ht="40.5" spans="1:14">
      <c r="A277" s="18">
        <v>294</v>
      </c>
      <c r="B277" s="104" t="s">
        <v>803</v>
      </c>
      <c r="C277" s="18" t="s">
        <v>553</v>
      </c>
      <c r="D277" s="18" t="s">
        <v>23</v>
      </c>
      <c r="E277" s="78" t="s">
        <v>804</v>
      </c>
      <c r="F277" s="18" t="s">
        <v>555</v>
      </c>
      <c r="G277" s="18" t="s">
        <v>556</v>
      </c>
      <c r="H277" s="18" t="s">
        <v>649</v>
      </c>
      <c r="I277" s="100">
        <v>0.716</v>
      </c>
      <c r="J277" s="94">
        <f t="shared" si="4"/>
        <v>10.99418</v>
      </c>
      <c r="K277" s="18" t="s">
        <v>651</v>
      </c>
      <c r="L277" s="18">
        <v>73</v>
      </c>
      <c r="M277" s="18">
        <v>1800</v>
      </c>
      <c r="N277" s="18" t="s">
        <v>805</v>
      </c>
    </row>
    <row r="278" ht="27" spans="1:14">
      <c r="A278" s="18">
        <v>295</v>
      </c>
      <c r="B278" s="104" t="s">
        <v>806</v>
      </c>
      <c r="C278" s="18" t="s">
        <v>553</v>
      </c>
      <c r="D278" s="18" t="s">
        <v>23</v>
      </c>
      <c r="E278" s="78" t="s">
        <v>804</v>
      </c>
      <c r="F278" s="18" t="s">
        <v>555</v>
      </c>
      <c r="G278" s="18" t="s">
        <v>556</v>
      </c>
      <c r="H278" s="18" t="s">
        <v>649</v>
      </c>
      <c r="I278" s="100">
        <v>2.665</v>
      </c>
      <c r="J278" s="94">
        <f t="shared" si="4"/>
        <v>40.921075</v>
      </c>
      <c r="K278" s="18" t="s">
        <v>651</v>
      </c>
      <c r="L278" s="18">
        <v>112</v>
      </c>
      <c r="M278" s="18">
        <v>1280</v>
      </c>
      <c r="N278" s="18" t="s">
        <v>805</v>
      </c>
    </row>
    <row r="279" ht="27" spans="1:14">
      <c r="A279" s="18">
        <v>296</v>
      </c>
      <c r="B279" s="104" t="s">
        <v>807</v>
      </c>
      <c r="C279" s="18" t="s">
        <v>553</v>
      </c>
      <c r="D279" s="18" t="s">
        <v>23</v>
      </c>
      <c r="E279" s="78" t="s">
        <v>808</v>
      </c>
      <c r="F279" s="18" t="s">
        <v>555</v>
      </c>
      <c r="G279" s="18" t="s">
        <v>556</v>
      </c>
      <c r="H279" s="18" t="s">
        <v>649</v>
      </c>
      <c r="I279" s="100">
        <v>0.454</v>
      </c>
      <c r="J279" s="94">
        <f t="shared" si="4"/>
        <v>6.97117</v>
      </c>
      <c r="K279" s="18" t="s">
        <v>651</v>
      </c>
      <c r="L279" s="18">
        <v>35</v>
      </c>
      <c r="M279" s="18">
        <v>216</v>
      </c>
      <c r="N279" s="18" t="s">
        <v>802</v>
      </c>
    </row>
    <row r="280" ht="27" spans="1:14">
      <c r="A280" s="18">
        <v>297</v>
      </c>
      <c r="B280" s="104" t="s">
        <v>809</v>
      </c>
      <c r="C280" s="18" t="s">
        <v>553</v>
      </c>
      <c r="D280" s="18" t="s">
        <v>23</v>
      </c>
      <c r="E280" s="78" t="s">
        <v>808</v>
      </c>
      <c r="F280" s="18" t="s">
        <v>555</v>
      </c>
      <c r="G280" s="18" t="s">
        <v>556</v>
      </c>
      <c r="H280" s="18" t="s">
        <v>649</v>
      </c>
      <c r="I280" s="100">
        <v>0.886</v>
      </c>
      <c r="J280" s="94">
        <f t="shared" si="4"/>
        <v>13.60453</v>
      </c>
      <c r="K280" s="18" t="s">
        <v>651</v>
      </c>
      <c r="L280" s="18">
        <v>38</v>
      </c>
      <c r="M280" s="18">
        <v>310</v>
      </c>
      <c r="N280" s="18" t="s">
        <v>802</v>
      </c>
    </row>
    <row r="281" ht="27" spans="1:14">
      <c r="A281" s="18">
        <v>298</v>
      </c>
      <c r="B281" s="104" t="s">
        <v>810</v>
      </c>
      <c r="C281" s="18" t="s">
        <v>553</v>
      </c>
      <c r="D281" s="18" t="s">
        <v>23</v>
      </c>
      <c r="E281" s="78" t="s">
        <v>811</v>
      </c>
      <c r="F281" s="18" t="s">
        <v>555</v>
      </c>
      <c r="G281" s="18" t="s">
        <v>556</v>
      </c>
      <c r="H281" s="18" t="s">
        <v>649</v>
      </c>
      <c r="I281" s="100">
        <v>1.525</v>
      </c>
      <c r="J281" s="94">
        <f t="shared" si="4"/>
        <v>23.416375</v>
      </c>
      <c r="K281" s="18" t="s">
        <v>651</v>
      </c>
      <c r="L281" s="78">
        <v>87</v>
      </c>
      <c r="M281" s="78">
        <v>920</v>
      </c>
      <c r="N281" s="18" t="s">
        <v>805</v>
      </c>
    </row>
    <row r="282" ht="27" spans="1:14">
      <c r="A282" s="18">
        <v>299</v>
      </c>
      <c r="B282" s="104" t="s">
        <v>812</v>
      </c>
      <c r="C282" s="18" t="s">
        <v>553</v>
      </c>
      <c r="D282" s="18" t="s">
        <v>23</v>
      </c>
      <c r="E282" s="78" t="s">
        <v>614</v>
      </c>
      <c r="F282" s="18" t="s">
        <v>555</v>
      </c>
      <c r="G282" s="18" t="s">
        <v>556</v>
      </c>
      <c r="H282" s="18" t="s">
        <v>649</v>
      </c>
      <c r="I282" s="100">
        <v>3.296</v>
      </c>
      <c r="J282" s="94">
        <f t="shared" si="4"/>
        <v>50.61008</v>
      </c>
      <c r="K282" s="18" t="s">
        <v>651</v>
      </c>
      <c r="L282" s="18">
        <v>691</v>
      </c>
      <c r="M282" s="18">
        <v>2592</v>
      </c>
      <c r="N282" s="18" t="s">
        <v>813</v>
      </c>
    </row>
    <row r="283" ht="27" spans="1:14">
      <c r="A283" s="18">
        <v>300</v>
      </c>
      <c r="B283" s="104" t="s">
        <v>814</v>
      </c>
      <c r="C283" s="18" t="s">
        <v>553</v>
      </c>
      <c r="D283" s="18" t="s">
        <v>23</v>
      </c>
      <c r="E283" s="78" t="s">
        <v>815</v>
      </c>
      <c r="F283" s="18" t="s">
        <v>555</v>
      </c>
      <c r="G283" s="18" t="s">
        <v>556</v>
      </c>
      <c r="H283" s="18" t="s">
        <v>649</v>
      </c>
      <c r="I283" s="100">
        <v>1.148</v>
      </c>
      <c r="J283" s="94">
        <f t="shared" si="4"/>
        <v>17.62754</v>
      </c>
      <c r="K283" s="18" t="s">
        <v>651</v>
      </c>
      <c r="L283" s="98">
        <v>61</v>
      </c>
      <c r="M283" s="98">
        <v>136</v>
      </c>
      <c r="N283" s="18" t="s">
        <v>652</v>
      </c>
    </row>
    <row r="284" ht="40.5" spans="1:14">
      <c r="A284" s="18">
        <v>301</v>
      </c>
      <c r="B284" s="104" t="s">
        <v>816</v>
      </c>
      <c r="C284" s="18" t="s">
        <v>553</v>
      </c>
      <c r="D284" s="18" t="s">
        <v>23</v>
      </c>
      <c r="E284" s="78" t="s">
        <v>817</v>
      </c>
      <c r="F284" s="18" t="s">
        <v>555</v>
      </c>
      <c r="G284" s="18" t="s">
        <v>556</v>
      </c>
      <c r="H284" s="18" t="s">
        <v>649</v>
      </c>
      <c r="I284" s="100">
        <v>1.16</v>
      </c>
      <c r="J284" s="94">
        <f t="shared" si="4"/>
        <v>17.8118</v>
      </c>
      <c r="K284" s="18" t="s">
        <v>651</v>
      </c>
      <c r="L284" s="98">
        <v>66</v>
      </c>
      <c r="M284" s="98">
        <v>143</v>
      </c>
      <c r="N284" s="18" t="s">
        <v>652</v>
      </c>
    </row>
    <row r="285" ht="27" spans="1:14">
      <c r="A285" s="18">
        <v>302</v>
      </c>
      <c r="B285" s="104" t="s">
        <v>818</v>
      </c>
      <c r="C285" s="18" t="s">
        <v>553</v>
      </c>
      <c r="D285" s="18" t="s">
        <v>23</v>
      </c>
      <c r="E285" s="78" t="s">
        <v>817</v>
      </c>
      <c r="F285" s="18" t="s">
        <v>555</v>
      </c>
      <c r="G285" s="18" t="s">
        <v>556</v>
      </c>
      <c r="H285" s="18" t="s">
        <v>649</v>
      </c>
      <c r="I285" s="100">
        <v>0.31</v>
      </c>
      <c r="J285" s="94">
        <f t="shared" si="4"/>
        <v>4.76005</v>
      </c>
      <c r="K285" s="18" t="s">
        <v>651</v>
      </c>
      <c r="L285" s="98">
        <v>76</v>
      </c>
      <c r="M285" s="98">
        <v>133</v>
      </c>
      <c r="N285" s="18" t="s">
        <v>652</v>
      </c>
    </row>
    <row r="286" ht="27" spans="1:14">
      <c r="A286" s="18">
        <v>303</v>
      </c>
      <c r="B286" s="104" t="s">
        <v>819</v>
      </c>
      <c r="C286" s="18" t="s">
        <v>553</v>
      </c>
      <c r="D286" s="18" t="s">
        <v>23</v>
      </c>
      <c r="E286" s="78" t="s">
        <v>820</v>
      </c>
      <c r="F286" s="18" t="s">
        <v>555</v>
      </c>
      <c r="G286" s="18" t="s">
        <v>556</v>
      </c>
      <c r="H286" s="18" t="s">
        <v>649</v>
      </c>
      <c r="I286" s="100">
        <v>0.12</v>
      </c>
      <c r="J286" s="94">
        <f t="shared" si="4"/>
        <v>1.8426</v>
      </c>
      <c r="K286" s="18" t="s">
        <v>651</v>
      </c>
      <c r="L286" s="98">
        <v>91.5</v>
      </c>
      <c r="M286" s="98">
        <v>127.5</v>
      </c>
      <c r="N286" s="18" t="s">
        <v>652</v>
      </c>
    </row>
    <row r="287" ht="40.5" spans="1:14">
      <c r="A287" s="18">
        <v>304</v>
      </c>
      <c r="B287" s="104" t="s">
        <v>821</v>
      </c>
      <c r="C287" s="18" t="s">
        <v>553</v>
      </c>
      <c r="D287" s="18" t="s">
        <v>23</v>
      </c>
      <c r="E287" s="78" t="s">
        <v>666</v>
      </c>
      <c r="F287" s="18" t="s">
        <v>555</v>
      </c>
      <c r="G287" s="18" t="s">
        <v>556</v>
      </c>
      <c r="H287" s="18" t="s">
        <v>649</v>
      </c>
      <c r="I287" s="100">
        <v>2.924</v>
      </c>
      <c r="J287" s="94">
        <f t="shared" si="4"/>
        <v>44.89802</v>
      </c>
      <c r="K287" s="18" t="s">
        <v>651</v>
      </c>
      <c r="L287" s="98">
        <v>76.32</v>
      </c>
      <c r="M287" s="98">
        <v>102.2</v>
      </c>
      <c r="N287" s="18" t="s">
        <v>652</v>
      </c>
    </row>
    <row r="288" ht="40.5" spans="1:14">
      <c r="A288" s="18">
        <v>305</v>
      </c>
      <c r="B288" s="104" t="s">
        <v>822</v>
      </c>
      <c r="C288" s="18" t="s">
        <v>553</v>
      </c>
      <c r="D288" s="18" t="s">
        <v>23</v>
      </c>
      <c r="E288" s="78" t="s">
        <v>664</v>
      </c>
      <c r="F288" s="18" t="s">
        <v>555</v>
      </c>
      <c r="G288" s="18" t="s">
        <v>556</v>
      </c>
      <c r="H288" s="18" t="s">
        <v>649</v>
      </c>
      <c r="I288" s="100">
        <v>0.908</v>
      </c>
      <c r="J288" s="94">
        <f t="shared" si="4"/>
        <v>13.94234</v>
      </c>
      <c r="K288" s="18" t="s">
        <v>651</v>
      </c>
      <c r="L288" s="18">
        <v>20</v>
      </c>
      <c r="M288" s="18">
        <v>210</v>
      </c>
      <c r="N288" s="18" t="s">
        <v>652</v>
      </c>
    </row>
    <row r="289" ht="27" spans="1:14">
      <c r="A289" s="18">
        <v>306</v>
      </c>
      <c r="B289" s="104" t="s">
        <v>823</v>
      </c>
      <c r="C289" s="18" t="s">
        <v>553</v>
      </c>
      <c r="D289" s="18" t="s">
        <v>23</v>
      </c>
      <c r="E289" s="78" t="s">
        <v>824</v>
      </c>
      <c r="F289" s="18" t="s">
        <v>555</v>
      </c>
      <c r="G289" s="18" t="s">
        <v>556</v>
      </c>
      <c r="H289" s="18" t="s">
        <v>649</v>
      </c>
      <c r="I289" s="100">
        <v>0.816</v>
      </c>
      <c r="J289" s="94">
        <f t="shared" si="4"/>
        <v>12.52968</v>
      </c>
      <c r="K289" s="18" t="s">
        <v>651</v>
      </c>
      <c r="L289" s="18">
        <v>10</v>
      </c>
      <c r="M289" s="18">
        <v>300</v>
      </c>
      <c r="N289" s="18" t="s">
        <v>652</v>
      </c>
    </row>
    <row r="290" ht="40.5" spans="1:14">
      <c r="A290" s="18">
        <v>307</v>
      </c>
      <c r="B290" s="104" t="s">
        <v>825</v>
      </c>
      <c r="C290" s="18" t="s">
        <v>553</v>
      </c>
      <c r="D290" s="18" t="s">
        <v>23</v>
      </c>
      <c r="E290" s="78" t="s">
        <v>826</v>
      </c>
      <c r="F290" s="18" t="s">
        <v>555</v>
      </c>
      <c r="G290" s="18" t="s">
        <v>556</v>
      </c>
      <c r="H290" s="18" t="s">
        <v>649</v>
      </c>
      <c r="I290" s="100">
        <v>0.604</v>
      </c>
      <c r="J290" s="94">
        <f t="shared" si="4"/>
        <v>9.27442</v>
      </c>
      <c r="K290" s="18" t="s">
        <v>651</v>
      </c>
      <c r="L290" s="18">
        <v>7</v>
      </c>
      <c r="M290" s="18">
        <v>150</v>
      </c>
      <c r="N290" s="18" t="s">
        <v>827</v>
      </c>
    </row>
    <row r="291" ht="27" spans="1:14">
      <c r="A291" s="18">
        <v>308</v>
      </c>
      <c r="B291" s="104" t="s">
        <v>828</v>
      </c>
      <c r="C291" s="18" t="s">
        <v>553</v>
      </c>
      <c r="D291" s="18" t="s">
        <v>23</v>
      </c>
      <c r="E291" s="78" t="s">
        <v>826</v>
      </c>
      <c r="F291" s="18" t="s">
        <v>555</v>
      </c>
      <c r="G291" s="18" t="s">
        <v>556</v>
      </c>
      <c r="H291" s="18" t="s">
        <v>649</v>
      </c>
      <c r="I291" s="100">
        <v>0.343</v>
      </c>
      <c r="J291" s="94">
        <f t="shared" si="4"/>
        <v>5.266765</v>
      </c>
      <c r="K291" s="18" t="s">
        <v>651</v>
      </c>
      <c r="L291" s="18">
        <v>7</v>
      </c>
      <c r="M291" s="18">
        <v>150</v>
      </c>
      <c r="N291" s="18" t="s">
        <v>827</v>
      </c>
    </row>
    <row r="292" ht="40.5" spans="1:14">
      <c r="A292" s="18">
        <v>309</v>
      </c>
      <c r="B292" s="104" t="s">
        <v>829</v>
      </c>
      <c r="C292" s="18" t="s">
        <v>553</v>
      </c>
      <c r="D292" s="18" t="s">
        <v>23</v>
      </c>
      <c r="E292" s="78" t="s">
        <v>830</v>
      </c>
      <c r="F292" s="18" t="s">
        <v>555</v>
      </c>
      <c r="G292" s="18" t="s">
        <v>556</v>
      </c>
      <c r="H292" s="18" t="s">
        <v>649</v>
      </c>
      <c r="I292" s="100">
        <v>0.246</v>
      </c>
      <c r="J292" s="94">
        <f t="shared" si="4"/>
        <v>3.77733</v>
      </c>
      <c r="K292" s="18" t="s">
        <v>651</v>
      </c>
      <c r="L292" s="18">
        <v>204</v>
      </c>
      <c r="M292" s="18">
        <v>1644</v>
      </c>
      <c r="N292" s="18" t="s">
        <v>831</v>
      </c>
    </row>
    <row r="293" ht="40.5" spans="1:14">
      <c r="A293" s="18">
        <v>310</v>
      </c>
      <c r="B293" s="104" t="s">
        <v>832</v>
      </c>
      <c r="C293" s="18" t="s">
        <v>553</v>
      </c>
      <c r="D293" s="18" t="s">
        <v>23</v>
      </c>
      <c r="E293" s="78" t="s">
        <v>833</v>
      </c>
      <c r="F293" s="18" t="s">
        <v>555</v>
      </c>
      <c r="G293" s="18" t="s">
        <v>556</v>
      </c>
      <c r="H293" s="18" t="s">
        <v>649</v>
      </c>
      <c r="I293" s="100">
        <v>0.929</v>
      </c>
      <c r="J293" s="94">
        <f t="shared" si="4"/>
        <v>14.264795</v>
      </c>
      <c r="K293" s="18" t="s">
        <v>651</v>
      </c>
      <c r="L293" s="18">
        <v>20</v>
      </c>
      <c r="M293" s="18">
        <v>400</v>
      </c>
      <c r="N293" s="18" t="s">
        <v>652</v>
      </c>
    </row>
    <row r="294" ht="40.5" spans="1:14">
      <c r="A294" s="18">
        <v>311</v>
      </c>
      <c r="B294" s="104" t="s">
        <v>834</v>
      </c>
      <c r="C294" s="18" t="s">
        <v>553</v>
      </c>
      <c r="D294" s="18" t="s">
        <v>23</v>
      </c>
      <c r="E294" s="78" t="s">
        <v>664</v>
      </c>
      <c r="F294" s="18" t="s">
        <v>555</v>
      </c>
      <c r="G294" s="18" t="s">
        <v>556</v>
      </c>
      <c r="H294" s="18" t="s">
        <v>649</v>
      </c>
      <c r="I294" s="100">
        <v>0.794</v>
      </c>
      <c r="J294" s="94">
        <f t="shared" si="4"/>
        <v>12.19187</v>
      </c>
      <c r="K294" s="18" t="s">
        <v>651</v>
      </c>
      <c r="L294" s="18">
        <v>12</v>
      </c>
      <c r="M294" s="18">
        <v>140</v>
      </c>
      <c r="N294" s="18" t="s">
        <v>652</v>
      </c>
    </row>
    <row r="295" ht="27" spans="1:14">
      <c r="A295" s="18">
        <v>312</v>
      </c>
      <c r="B295" s="104" t="s">
        <v>835</v>
      </c>
      <c r="C295" s="18" t="s">
        <v>553</v>
      </c>
      <c r="D295" s="18" t="s">
        <v>23</v>
      </c>
      <c r="E295" s="78" t="s">
        <v>664</v>
      </c>
      <c r="F295" s="18" t="s">
        <v>555</v>
      </c>
      <c r="G295" s="18" t="s">
        <v>556</v>
      </c>
      <c r="H295" s="18" t="s">
        <v>649</v>
      </c>
      <c r="I295" s="100">
        <v>0.45</v>
      </c>
      <c r="J295" s="94">
        <f t="shared" si="4"/>
        <v>6.90975</v>
      </c>
      <c r="K295" s="18" t="s">
        <v>651</v>
      </c>
      <c r="L295" s="18">
        <v>29</v>
      </c>
      <c r="M295" s="18">
        <v>130</v>
      </c>
      <c r="N295" s="18" t="s">
        <v>652</v>
      </c>
    </row>
    <row r="296" ht="40.5" spans="1:14">
      <c r="A296" s="18">
        <v>313</v>
      </c>
      <c r="B296" s="104" t="s">
        <v>836</v>
      </c>
      <c r="C296" s="18" t="s">
        <v>553</v>
      </c>
      <c r="D296" s="18" t="s">
        <v>23</v>
      </c>
      <c r="E296" s="78" t="s">
        <v>664</v>
      </c>
      <c r="F296" s="18" t="s">
        <v>555</v>
      </c>
      <c r="G296" s="18" t="s">
        <v>556</v>
      </c>
      <c r="H296" s="18" t="s">
        <v>649</v>
      </c>
      <c r="I296" s="100">
        <v>0.868</v>
      </c>
      <c r="J296" s="94">
        <f t="shared" si="4"/>
        <v>13.32814</v>
      </c>
      <c r="K296" s="18" t="s">
        <v>651</v>
      </c>
      <c r="L296" s="18">
        <v>32</v>
      </c>
      <c r="M296" s="18">
        <v>310</v>
      </c>
      <c r="N296" s="18" t="s">
        <v>837</v>
      </c>
    </row>
    <row r="297" ht="40.5" spans="1:14">
      <c r="A297" s="18">
        <v>314</v>
      </c>
      <c r="B297" s="104" t="s">
        <v>838</v>
      </c>
      <c r="C297" s="18" t="s">
        <v>553</v>
      </c>
      <c r="D297" s="18" t="s">
        <v>23</v>
      </c>
      <c r="E297" s="78" t="s">
        <v>826</v>
      </c>
      <c r="F297" s="18" t="s">
        <v>555</v>
      </c>
      <c r="G297" s="18" t="s">
        <v>556</v>
      </c>
      <c r="H297" s="18" t="s">
        <v>649</v>
      </c>
      <c r="I297" s="100">
        <v>1.233</v>
      </c>
      <c r="J297" s="94">
        <f t="shared" si="4"/>
        <v>18.932715</v>
      </c>
      <c r="K297" s="18" t="s">
        <v>651</v>
      </c>
      <c r="L297" s="18">
        <v>194</v>
      </c>
      <c r="M297" s="18">
        <v>1862</v>
      </c>
      <c r="N297" s="18" t="s">
        <v>839</v>
      </c>
    </row>
    <row r="298" ht="40.5" spans="1:14">
      <c r="A298" s="18">
        <v>315</v>
      </c>
      <c r="B298" s="104" t="s">
        <v>840</v>
      </c>
      <c r="C298" s="18" t="s">
        <v>553</v>
      </c>
      <c r="D298" s="18" t="s">
        <v>23</v>
      </c>
      <c r="E298" s="78" t="s">
        <v>833</v>
      </c>
      <c r="F298" s="18" t="s">
        <v>555</v>
      </c>
      <c r="G298" s="18" t="s">
        <v>556</v>
      </c>
      <c r="H298" s="18" t="s">
        <v>649</v>
      </c>
      <c r="I298" s="100">
        <v>0.506</v>
      </c>
      <c r="J298" s="94">
        <f t="shared" si="4"/>
        <v>7.76963</v>
      </c>
      <c r="K298" s="18" t="s">
        <v>651</v>
      </c>
      <c r="L298" s="18">
        <v>20</v>
      </c>
      <c r="M298" s="18">
        <v>300</v>
      </c>
      <c r="N298" s="18" t="s">
        <v>652</v>
      </c>
    </row>
    <row r="299" ht="40.5" spans="1:14">
      <c r="A299" s="18">
        <v>316</v>
      </c>
      <c r="B299" s="104" t="s">
        <v>841</v>
      </c>
      <c r="C299" s="18" t="s">
        <v>553</v>
      </c>
      <c r="D299" s="18" t="s">
        <v>23</v>
      </c>
      <c r="E299" s="78" t="s">
        <v>833</v>
      </c>
      <c r="F299" s="18" t="s">
        <v>555</v>
      </c>
      <c r="G299" s="18" t="s">
        <v>556</v>
      </c>
      <c r="H299" s="18" t="s">
        <v>649</v>
      </c>
      <c r="I299" s="100">
        <v>1.199</v>
      </c>
      <c r="J299" s="94">
        <f t="shared" si="4"/>
        <v>18.410645</v>
      </c>
      <c r="K299" s="18" t="s">
        <v>651</v>
      </c>
      <c r="L299" s="18">
        <v>13</v>
      </c>
      <c r="M299" s="18">
        <v>180</v>
      </c>
      <c r="N299" s="18" t="s">
        <v>652</v>
      </c>
    </row>
    <row r="300" ht="25.05" customHeight="1" spans="1:14">
      <c r="A300" s="18">
        <v>317</v>
      </c>
      <c r="B300" s="104" t="s">
        <v>842</v>
      </c>
      <c r="C300" s="18" t="s">
        <v>553</v>
      </c>
      <c r="D300" s="18" t="s">
        <v>23</v>
      </c>
      <c r="E300" s="78" t="s">
        <v>824</v>
      </c>
      <c r="F300" s="18" t="s">
        <v>555</v>
      </c>
      <c r="G300" s="18" t="s">
        <v>556</v>
      </c>
      <c r="H300" s="18" t="s">
        <v>649</v>
      </c>
      <c r="I300" s="100">
        <v>0.725</v>
      </c>
      <c r="J300" s="94">
        <f t="shared" si="4"/>
        <v>11.132375</v>
      </c>
      <c r="K300" s="18" t="s">
        <v>651</v>
      </c>
      <c r="L300" s="18">
        <v>11</v>
      </c>
      <c r="M300" s="18">
        <v>160</v>
      </c>
      <c r="N300" s="18" t="s">
        <v>652</v>
      </c>
    </row>
    <row r="301" ht="40.5" spans="1:14">
      <c r="A301" s="18">
        <v>318</v>
      </c>
      <c r="B301" s="104" t="s">
        <v>843</v>
      </c>
      <c r="C301" s="18" t="s">
        <v>553</v>
      </c>
      <c r="D301" s="18" t="s">
        <v>23</v>
      </c>
      <c r="E301" s="78" t="s">
        <v>833</v>
      </c>
      <c r="F301" s="18" t="s">
        <v>555</v>
      </c>
      <c r="G301" s="18" t="s">
        <v>556</v>
      </c>
      <c r="H301" s="18" t="s">
        <v>649</v>
      </c>
      <c r="I301" s="100">
        <v>2.422</v>
      </c>
      <c r="J301" s="94">
        <f t="shared" si="4"/>
        <v>37.18981</v>
      </c>
      <c r="K301" s="18" t="s">
        <v>651</v>
      </c>
      <c r="L301" s="18">
        <v>16</v>
      </c>
      <c r="M301" s="18">
        <v>180</v>
      </c>
      <c r="N301" s="18" t="s">
        <v>652</v>
      </c>
    </row>
    <row r="302" ht="27" spans="1:14">
      <c r="A302" s="18">
        <v>319</v>
      </c>
      <c r="B302" s="104" t="s">
        <v>844</v>
      </c>
      <c r="C302" s="18" t="s">
        <v>553</v>
      </c>
      <c r="D302" s="18" t="s">
        <v>23</v>
      </c>
      <c r="E302" s="78" t="s">
        <v>824</v>
      </c>
      <c r="F302" s="18" t="s">
        <v>555</v>
      </c>
      <c r="G302" s="18" t="s">
        <v>556</v>
      </c>
      <c r="H302" s="18" t="s">
        <v>649</v>
      </c>
      <c r="I302" s="100">
        <v>0.521</v>
      </c>
      <c r="J302" s="94">
        <f t="shared" ref="J302:J311" si="5">I302*41.5*0.37</f>
        <v>7.999955</v>
      </c>
      <c r="K302" s="18" t="s">
        <v>651</v>
      </c>
      <c r="L302" s="18">
        <v>11</v>
      </c>
      <c r="M302" s="18">
        <v>180</v>
      </c>
      <c r="N302" s="18" t="s">
        <v>845</v>
      </c>
    </row>
    <row r="303" ht="40.5" spans="1:14">
      <c r="A303" s="18">
        <v>320</v>
      </c>
      <c r="B303" s="104" t="s">
        <v>846</v>
      </c>
      <c r="C303" s="18" t="s">
        <v>553</v>
      </c>
      <c r="D303" s="18" t="s">
        <v>23</v>
      </c>
      <c r="E303" s="78" t="s">
        <v>847</v>
      </c>
      <c r="F303" s="18" t="s">
        <v>555</v>
      </c>
      <c r="G303" s="18" t="s">
        <v>556</v>
      </c>
      <c r="H303" s="18" t="s">
        <v>649</v>
      </c>
      <c r="I303" s="100">
        <v>0.973</v>
      </c>
      <c r="J303" s="94">
        <f t="shared" si="5"/>
        <v>14.940415</v>
      </c>
      <c r="K303" s="18" t="s">
        <v>651</v>
      </c>
      <c r="L303" s="18">
        <v>43</v>
      </c>
      <c r="M303" s="18">
        <v>130</v>
      </c>
      <c r="N303" s="18" t="s">
        <v>848</v>
      </c>
    </row>
    <row r="304" ht="40.5" spans="1:14">
      <c r="A304" s="18">
        <v>321</v>
      </c>
      <c r="B304" s="104" t="s">
        <v>849</v>
      </c>
      <c r="C304" s="18" t="s">
        <v>553</v>
      </c>
      <c r="D304" s="18" t="s">
        <v>23</v>
      </c>
      <c r="E304" s="78" t="s">
        <v>847</v>
      </c>
      <c r="F304" s="18" t="s">
        <v>555</v>
      </c>
      <c r="G304" s="18" t="s">
        <v>556</v>
      </c>
      <c r="H304" s="18" t="s">
        <v>649</v>
      </c>
      <c r="I304" s="100">
        <v>0.238</v>
      </c>
      <c r="J304" s="94">
        <f t="shared" si="5"/>
        <v>3.65449</v>
      </c>
      <c r="K304" s="18" t="s">
        <v>651</v>
      </c>
      <c r="L304" s="18">
        <v>21</v>
      </c>
      <c r="M304" s="18">
        <v>120</v>
      </c>
      <c r="N304" s="18" t="s">
        <v>850</v>
      </c>
    </row>
    <row r="305" ht="27" spans="1:14">
      <c r="A305" s="18">
        <v>322</v>
      </c>
      <c r="B305" s="104" t="s">
        <v>851</v>
      </c>
      <c r="C305" s="18" t="s">
        <v>553</v>
      </c>
      <c r="D305" s="18" t="s">
        <v>23</v>
      </c>
      <c r="E305" s="78" t="s">
        <v>670</v>
      </c>
      <c r="F305" s="18" t="s">
        <v>555</v>
      </c>
      <c r="G305" s="18" t="s">
        <v>556</v>
      </c>
      <c r="H305" s="18" t="s">
        <v>649</v>
      </c>
      <c r="I305" s="100">
        <v>1.073</v>
      </c>
      <c r="J305" s="94">
        <f t="shared" si="5"/>
        <v>16.475915</v>
      </c>
      <c r="K305" s="18" t="s">
        <v>651</v>
      </c>
      <c r="L305" s="18">
        <v>21</v>
      </c>
      <c r="M305" s="18">
        <v>135</v>
      </c>
      <c r="N305" s="18" t="s">
        <v>852</v>
      </c>
    </row>
    <row r="306" ht="40.5" spans="1:14">
      <c r="A306" s="18">
        <v>323</v>
      </c>
      <c r="B306" s="104" t="s">
        <v>853</v>
      </c>
      <c r="C306" s="18" t="s">
        <v>553</v>
      </c>
      <c r="D306" s="18" t="s">
        <v>23</v>
      </c>
      <c r="E306" s="78" t="s">
        <v>519</v>
      </c>
      <c r="F306" s="18" t="s">
        <v>555</v>
      </c>
      <c r="G306" s="18" t="s">
        <v>556</v>
      </c>
      <c r="H306" s="18" t="s">
        <v>649</v>
      </c>
      <c r="I306" s="100">
        <v>2.026</v>
      </c>
      <c r="J306" s="94">
        <f t="shared" si="5"/>
        <v>31.10923</v>
      </c>
      <c r="K306" s="18" t="s">
        <v>651</v>
      </c>
      <c r="L306" s="18">
        <v>51</v>
      </c>
      <c r="M306" s="18">
        <v>378</v>
      </c>
      <c r="N306" s="18" t="s">
        <v>854</v>
      </c>
    </row>
    <row r="307" ht="27" spans="1:14">
      <c r="A307" s="18">
        <v>324</v>
      </c>
      <c r="B307" s="104" t="s">
        <v>855</v>
      </c>
      <c r="C307" s="18" t="s">
        <v>553</v>
      </c>
      <c r="D307" s="18" t="s">
        <v>23</v>
      </c>
      <c r="E307" s="78" t="s">
        <v>856</v>
      </c>
      <c r="F307" s="18" t="s">
        <v>555</v>
      </c>
      <c r="G307" s="18" t="s">
        <v>556</v>
      </c>
      <c r="H307" s="18" t="s">
        <v>649</v>
      </c>
      <c r="I307" s="100">
        <v>0.278</v>
      </c>
      <c r="J307" s="94">
        <f t="shared" si="5"/>
        <v>4.26869</v>
      </c>
      <c r="K307" s="18" t="s">
        <v>651</v>
      </c>
      <c r="L307" s="18">
        <v>16</v>
      </c>
      <c r="M307" s="18">
        <v>137</v>
      </c>
      <c r="N307" s="18" t="s">
        <v>857</v>
      </c>
    </row>
    <row r="308" ht="40.5" spans="1:14">
      <c r="A308" s="18">
        <v>325</v>
      </c>
      <c r="B308" s="104" t="s">
        <v>858</v>
      </c>
      <c r="C308" s="18" t="s">
        <v>553</v>
      </c>
      <c r="D308" s="18" t="s">
        <v>23</v>
      </c>
      <c r="E308" s="78" t="s">
        <v>856</v>
      </c>
      <c r="F308" s="18" t="s">
        <v>555</v>
      </c>
      <c r="G308" s="18" t="s">
        <v>556</v>
      </c>
      <c r="H308" s="18" t="s">
        <v>649</v>
      </c>
      <c r="I308" s="100">
        <v>0.176</v>
      </c>
      <c r="J308" s="94">
        <f t="shared" si="5"/>
        <v>2.70248</v>
      </c>
      <c r="K308" s="18" t="s">
        <v>651</v>
      </c>
      <c r="L308" s="18">
        <v>23</v>
      </c>
      <c r="M308" s="18">
        <v>113</v>
      </c>
      <c r="N308" s="18" t="s">
        <v>859</v>
      </c>
    </row>
    <row r="309" ht="40.5" spans="1:14">
      <c r="A309" s="18">
        <v>326</v>
      </c>
      <c r="B309" s="104" t="s">
        <v>860</v>
      </c>
      <c r="C309" s="18" t="s">
        <v>553</v>
      </c>
      <c r="D309" s="18" t="s">
        <v>23</v>
      </c>
      <c r="E309" s="78" t="s">
        <v>856</v>
      </c>
      <c r="F309" s="18" t="s">
        <v>555</v>
      </c>
      <c r="G309" s="18" t="s">
        <v>556</v>
      </c>
      <c r="H309" s="18" t="s">
        <v>649</v>
      </c>
      <c r="I309" s="100">
        <v>0.53</v>
      </c>
      <c r="J309" s="94">
        <f t="shared" si="5"/>
        <v>8.13815</v>
      </c>
      <c r="K309" s="18" t="s">
        <v>651</v>
      </c>
      <c r="L309" s="18">
        <v>16</v>
      </c>
      <c r="M309" s="18">
        <v>81</v>
      </c>
      <c r="N309" s="18" t="s">
        <v>861</v>
      </c>
    </row>
    <row r="310" ht="27" spans="1:14">
      <c r="A310" s="18">
        <v>327</v>
      </c>
      <c r="B310" s="104" t="s">
        <v>862</v>
      </c>
      <c r="C310" s="18" t="s">
        <v>553</v>
      </c>
      <c r="D310" s="18" t="s">
        <v>23</v>
      </c>
      <c r="E310" s="78" t="s">
        <v>863</v>
      </c>
      <c r="F310" s="18" t="s">
        <v>555</v>
      </c>
      <c r="G310" s="18" t="s">
        <v>556</v>
      </c>
      <c r="H310" s="18" t="s">
        <v>649</v>
      </c>
      <c r="I310" s="100">
        <v>0.415</v>
      </c>
      <c r="J310" s="94">
        <f t="shared" si="5"/>
        <v>6.372325</v>
      </c>
      <c r="K310" s="18" t="s">
        <v>651</v>
      </c>
      <c r="L310" s="18">
        <v>20</v>
      </c>
      <c r="M310" s="18">
        <v>200</v>
      </c>
      <c r="N310" s="18" t="s">
        <v>652</v>
      </c>
    </row>
    <row r="311" ht="27" spans="1:14">
      <c r="A311" s="18">
        <v>328</v>
      </c>
      <c r="B311" s="104" t="s">
        <v>864</v>
      </c>
      <c r="C311" s="18" t="s">
        <v>553</v>
      </c>
      <c r="D311" s="18" t="s">
        <v>23</v>
      </c>
      <c r="E311" s="78" t="s">
        <v>824</v>
      </c>
      <c r="F311" s="18" t="s">
        <v>555</v>
      </c>
      <c r="G311" s="18" t="s">
        <v>556</v>
      </c>
      <c r="H311" s="18" t="s">
        <v>649</v>
      </c>
      <c r="I311" s="100">
        <v>0.322</v>
      </c>
      <c r="J311" s="94">
        <f t="shared" si="5"/>
        <v>4.94431</v>
      </c>
      <c r="K311" s="18" t="s">
        <v>651</v>
      </c>
      <c r="L311" s="18">
        <v>20</v>
      </c>
      <c r="M311" s="18">
        <v>200</v>
      </c>
      <c r="N311" s="18" t="s">
        <v>652</v>
      </c>
    </row>
    <row r="312" ht="40.5" spans="1:14">
      <c r="A312" s="18">
        <v>329</v>
      </c>
      <c r="B312" s="105" t="s">
        <v>865</v>
      </c>
      <c r="C312" s="18" t="s">
        <v>553</v>
      </c>
      <c r="D312" s="18" t="s">
        <v>23</v>
      </c>
      <c r="E312" s="67" t="s">
        <v>301</v>
      </c>
      <c r="F312" s="18" t="s">
        <v>555</v>
      </c>
      <c r="G312" s="18" t="s">
        <v>556</v>
      </c>
      <c r="H312" s="18" t="s">
        <v>649</v>
      </c>
      <c r="I312" s="99">
        <v>0.765</v>
      </c>
      <c r="J312" s="94">
        <f t="shared" ref="J312:J375" si="6">I312*38*0.33</f>
        <v>9.5931</v>
      </c>
      <c r="K312" s="18" t="s">
        <v>651</v>
      </c>
      <c r="L312" s="78">
        <f>VLOOKUP(B312:B317,[1]Sheet1!$B$5:$R$9,11,0)</f>
        <v>18</v>
      </c>
      <c r="M312" s="78">
        <f>VLOOKUP(B312:B317,[1]Sheet1!$B$5:$R$9,12,0)</f>
        <v>450</v>
      </c>
      <c r="N312" s="18" t="str">
        <f>VLOOKUP(B312:B317,[1]Sheet1!$B$5:$R$9,13,0)</f>
        <v>方便群众安全出行</v>
      </c>
    </row>
    <row r="313" ht="40.5" spans="1:14">
      <c r="A313" s="18">
        <v>330</v>
      </c>
      <c r="B313" s="105" t="s">
        <v>866</v>
      </c>
      <c r="C313" s="18" t="s">
        <v>553</v>
      </c>
      <c r="D313" s="18" t="s">
        <v>23</v>
      </c>
      <c r="E313" s="101" t="s">
        <v>301</v>
      </c>
      <c r="F313" s="18" t="s">
        <v>555</v>
      </c>
      <c r="G313" s="18" t="s">
        <v>556</v>
      </c>
      <c r="H313" s="18" t="s">
        <v>649</v>
      </c>
      <c r="I313" s="100">
        <v>0.507</v>
      </c>
      <c r="J313" s="94">
        <f t="shared" si="6"/>
        <v>6.35778</v>
      </c>
      <c r="K313" s="18" t="s">
        <v>651</v>
      </c>
      <c r="L313" s="78">
        <f>VLOOKUP(B313:B318,[1]Sheet1!$B$5:$R$9,11,0)</f>
        <v>11</v>
      </c>
      <c r="M313" s="78">
        <f>VLOOKUP(B313:B318,[1]Sheet1!$B$5:$R$9,12,0)</f>
        <v>130</v>
      </c>
      <c r="N313" s="18" t="str">
        <f>VLOOKUP(B313:B318,[1]Sheet1!$B$5:$R$9,13,0)</f>
        <v>方便群众安全出行</v>
      </c>
    </row>
    <row r="314" ht="27" spans="1:14">
      <c r="A314" s="18">
        <v>331</v>
      </c>
      <c r="B314" s="105" t="s">
        <v>867</v>
      </c>
      <c r="C314" s="18" t="s">
        <v>553</v>
      </c>
      <c r="D314" s="18" t="s">
        <v>23</v>
      </c>
      <c r="E314" s="101" t="s">
        <v>301</v>
      </c>
      <c r="F314" s="18" t="s">
        <v>555</v>
      </c>
      <c r="G314" s="18" t="s">
        <v>556</v>
      </c>
      <c r="H314" s="18" t="s">
        <v>649</v>
      </c>
      <c r="I314" s="100">
        <v>0.37</v>
      </c>
      <c r="J314" s="94">
        <f t="shared" si="6"/>
        <v>4.6398</v>
      </c>
      <c r="K314" s="18" t="s">
        <v>651</v>
      </c>
      <c r="L314" s="78">
        <f>VLOOKUP(B314:B320,[1]Sheet1!$B$5:$R$9,11,0)</f>
        <v>4</v>
      </c>
      <c r="M314" s="78">
        <f>VLOOKUP(B314:B320,[1]Sheet1!$B$5:$R$9,12,0)</f>
        <v>115</v>
      </c>
      <c r="N314" s="18" t="str">
        <f>VLOOKUP(B314:B320,[1]Sheet1!$B$5:$R$9,13,0)</f>
        <v>方便群众安全出行</v>
      </c>
    </row>
    <row r="315" ht="40.5" spans="1:14">
      <c r="A315" s="18">
        <v>332</v>
      </c>
      <c r="B315" s="105" t="s">
        <v>868</v>
      </c>
      <c r="C315" s="18" t="s">
        <v>553</v>
      </c>
      <c r="D315" s="18" t="s">
        <v>23</v>
      </c>
      <c r="E315" s="101" t="s">
        <v>626</v>
      </c>
      <c r="F315" s="18" t="s">
        <v>555</v>
      </c>
      <c r="G315" s="18" t="s">
        <v>556</v>
      </c>
      <c r="H315" s="18" t="s">
        <v>649</v>
      </c>
      <c r="I315" s="100">
        <v>0.39</v>
      </c>
      <c r="J315" s="94">
        <f t="shared" si="6"/>
        <v>4.8906</v>
      </c>
      <c r="K315" s="18" t="s">
        <v>651</v>
      </c>
      <c r="L315" s="78">
        <f>VLOOKUP(B312:B433,[1]Sheet1!$B$5:$R$26,11)</f>
        <v>42</v>
      </c>
      <c r="M315" s="18">
        <f>VLOOKUP(B312:B433,[1]Sheet1!$B$5:$R$26,12)</f>
        <v>415</v>
      </c>
      <c r="N315" s="18" t="str">
        <f>VLOOKUP(B312:B433,[1]Sheet1!$B$5:$R$26,13)</f>
        <v>方便群众安全出行</v>
      </c>
    </row>
    <row r="316" ht="40.5" spans="1:14">
      <c r="A316" s="18">
        <v>333</v>
      </c>
      <c r="B316" s="105" t="s">
        <v>869</v>
      </c>
      <c r="C316" s="18" t="s">
        <v>553</v>
      </c>
      <c r="D316" s="18" t="s">
        <v>23</v>
      </c>
      <c r="E316" s="101" t="s">
        <v>626</v>
      </c>
      <c r="F316" s="18" t="s">
        <v>555</v>
      </c>
      <c r="G316" s="18" t="s">
        <v>556</v>
      </c>
      <c r="H316" s="18" t="s">
        <v>649</v>
      </c>
      <c r="I316" s="100">
        <v>0.489</v>
      </c>
      <c r="J316" s="94">
        <f t="shared" si="6"/>
        <v>6.13206</v>
      </c>
      <c r="K316" s="18" t="s">
        <v>651</v>
      </c>
      <c r="L316" s="78">
        <v>50</v>
      </c>
      <c r="M316" s="18">
        <v>380</v>
      </c>
      <c r="N316" s="18" t="e">
        <f>VLOOKUP(#REF!,[1]Sheet1!$B$5:$R$26,13)</f>
        <v>#REF!</v>
      </c>
    </row>
    <row r="317" ht="54" spans="1:14">
      <c r="A317" s="18">
        <v>334</v>
      </c>
      <c r="B317" s="105" t="s">
        <v>870</v>
      </c>
      <c r="C317" s="18" t="s">
        <v>553</v>
      </c>
      <c r="D317" s="18" t="s">
        <v>23</v>
      </c>
      <c r="E317" s="101" t="s">
        <v>706</v>
      </c>
      <c r="F317" s="18" t="s">
        <v>555</v>
      </c>
      <c r="G317" s="18" t="s">
        <v>556</v>
      </c>
      <c r="H317" s="18" t="s">
        <v>649</v>
      </c>
      <c r="I317" s="100">
        <v>2.168</v>
      </c>
      <c r="J317" s="94">
        <f t="shared" si="6"/>
        <v>27.18672</v>
      </c>
      <c r="K317" s="18" t="s">
        <v>651</v>
      </c>
      <c r="L317" s="78">
        <v>59</v>
      </c>
      <c r="M317" s="18">
        <v>346</v>
      </c>
      <c r="N317" s="18" t="s">
        <v>783</v>
      </c>
    </row>
    <row r="318" ht="27" spans="1:14">
      <c r="A318" s="18">
        <v>335</v>
      </c>
      <c r="B318" s="105" t="s">
        <v>871</v>
      </c>
      <c r="C318" s="18" t="s">
        <v>553</v>
      </c>
      <c r="D318" s="18" t="s">
        <v>23</v>
      </c>
      <c r="E318" s="101" t="s">
        <v>301</v>
      </c>
      <c r="F318" s="18" t="s">
        <v>555</v>
      </c>
      <c r="G318" s="18" t="s">
        <v>556</v>
      </c>
      <c r="H318" s="18" t="s">
        <v>649</v>
      </c>
      <c r="I318" s="100">
        <v>3</v>
      </c>
      <c r="J318" s="94">
        <f t="shared" si="6"/>
        <v>37.62</v>
      </c>
      <c r="K318" s="18" t="s">
        <v>651</v>
      </c>
      <c r="L318" s="18">
        <v>31</v>
      </c>
      <c r="M318" s="18">
        <v>386</v>
      </c>
      <c r="N318" s="18" t="s">
        <v>674</v>
      </c>
    </row>
    <row r="319" ht="27" spans="1:14">
      <c r="A319" s="18">
        <v>336</v>
      </c>
      <c r="B319" s="105" t="s">
        <v>872</v>
      </c>
      <c r="C319" s="18" t="s">
        <v>553</v>
      </c>
      <c r="D319" s="18" t="s">
        <v>23</v>
      </c>
      <c r="E319" s="67" t="s">
        <v>499</v>
      </c>
      <c r="F319" s="18" t="s">
        <v>555</v>
      </c>
      <c r="G319" s="18" t="s">
        <v>556</v>
      </c>
      <c r="H319" s="18" t="s">
        <v>649</v>
      </c>
      <c r="I319" s="99">
        <v>0.7</v>
      </c>
      <c r="J319" s="94">
        <f t="shared" si="6"/>
        <v>8.778</v>
      </c>
      <c r="K319" s="18" t="s">
        <v>651</v>
      </c>
      <c r="L319" s="18">
        <v>19</v>
      </c>
      <c r="M319" s="18">
        <v>330</v>
      </c>
      <c r="N319" s="18" t="s">
        <v>873</v>
      </c>
    </row>
    <row r="320" ht="40.5" spans="1:14">
      <c r="A320" s="18">
        <v>337</v>
      </c>
      <c r="B320" s="105" t="s">
        <v>874</v>
      </c>
      <c r="C320" s="18" t="s">
        <v>553</v>
      </c>
      <c r="D320" s="18" t="s">
        <v>23</v>
      </c>
      <c r="E320" s="101" t="s">
        <v>499</v>
      </c>
      <c r="F320" s="18" t="s">
        <v>555</v>
      </c>
      <c r="G320" s="18" t="s">
        <v>556</v>
      </c>
      <c r="H320" s="18" t="s">
        <v>649</v>
      </c>
      <c r="I320" s="99">
        <v>1.3</v>
      </c>
      <c r="J320" s="94">
        <f t="shared" si="6"/>
        <v>16.302</v>
      </c>
      <c r="K320" s="18" t="s">
        <v>651</v>
      </c>
      <c r="L320" s="18">
        <v>51</v>
      </c>
      <c r="M320" s="18">
        <v>372</v>
      </c>
      <c r="N320" s="18" t="s">
        <v>775</v>
      </c>
    </row>
    <row r="321" ht="27" spans="1:14">
      <c r="A321" s="18">
        <v>338</v>
      </c>
      <c r="B321" s="105" t="s">
        <v>875</v>
      </c>
      <c r="C321" s="18" t="s">
        <v>553</v>
      </c>
      <c r="D321" s="18" t="s">
        <v>23</v>
      </c>
      <c r="E321" s="101" t="s">
        <v>771</v>
      </c>
      <c r="F321" s="18" t="s">
        <v>555</v>
      </c>
      <c r="G321" s="18" t="s">
        <v>556</v>
      </c>
      <c r="H321" s="18" t="s">
        <v>649</v>
      </c>
      <c r="I321" s="99">
        <v>2.5</v>
      </c>
      <c r="J321" s="94">
        <f t="shared" si="6"/>
        <v>31.35</v>
      </c>
      <c r="K321" s="18" t="s">
        <v>651</v>
      </c>
      <c r="L321" s="18">
        <v>81</v>
      </c>
      <c r="M321" s="18">
        <v>244</v>
      </c>
      <c r="N321" s="18" t="s">
        <v>772</v>
      </c>
    </row>
    <row r="322" ht="40.5" spans="1:14">
      <c r="A322" s="18">
        <v>339</v>
      </c>
      <c r="B322" s="105" t="s">
        <v>876</v>
      </c>
      <c r="C322" s="18" t="s">
        <v>553</v>
      </c>
      <c r="D322" s="18" t="s">
        <v>23</v>
      </c>
      <c r="E322" s="67" t="s">
        <v>771</v>
      </c>
      <c r="F322" s="18" t="s">
        <v>555</v>
      </c>
      <c r="G322" s="18" t="s">
        <v>556</v>
      </c>
      <c r="H322" s="18" t="s">
        <v>649</v>
      </c>
      <c r="I322" s="99">
        <v>3.3</v>
      </c>
      <c r="J322" s="94">
        <f t="shared" si="6"/>
        <v>41.382</v>
      </c>
      <c r="K322" s="18" t="s">
        <v>651</v>
      </c>
      <c r="L322" s="18">
        <v>60</v>
      </c>
      <c r="M322" s="18">
        <v>260</v>
      </c>
      <c r="N322" s="18" t="s">
        <v>772</v>
      </c>
    </row>
    <row r="323" ht="27" spans="1:14">
      <c r="A323" s="18">
        <v>340</v>
      </c>
      <c r="B323" s="105" t="s">
        <v>877</v>
      </c>
      <c r="C323" s="18" t="s">
        <v>553</v>
      </c>
      <c r="D323" s="18" t="s">
        <v>23</v>
      </c>
      <c r="E323" s="67" t="s">
        <v>298</v>
      </c>
      <c r="F323" s="18" t="s">
        <v>555</v>
      </c>
      <c r="G323" s="18" t="s">
        <v>556</v>
      </c>
      <c r="H323" s="18" t="s">
        <v>649</v>
      </c>
      <c r="I323" s="99">
        <v>1.023</v>
      </c>
      <c r="J323" s="94">
        <f t="shared" si="6"/>
        <v>12.82842</v>
      </c>
      <c r="K323" s="18" t="s">
        <v>651</v>
      </c>
      <c r="L323" s="78" t="str">
        <f>VLOOKUP(I323:I336,[2]Sheet1!$A$3:$R$38,12)</f>
        <v>50人</v>
      </c>
      <c r="M323" s="18" t="str">
        <f>VLOOKUP(I323:I336,[2]Sheet1!$A$3:$R$38,13)</f>
        <v>56人</v>
      </c>
      <c r="N323" s="18" t="str">
        <f>VLOOKUP(I323:I336,[2]Sheet1!$A$3:$R$38,14)</f>
        <v>解决二个组村民安全通行问题</v>
      </c>
    </row>
    <row r="324" ht="40.5" spans="1:14">
      <c r="A324" s="18">
        <v>341</v>
      </c>
      <c r="B324" s="105" t="s">
        <v>878</v>
      </c>
      <c r="C324" s="18" t="s">
        <v>553</v>
      </c>
      <c r="D324" s="18" t="s">
        <v>23</v>
      </c>
      <c r="E324" s="67" t="s">
        <v>298</v>
      </c>
      <c r="F324" s="18" t="s">
        <v>555</v>
      </c>
      <c r="G324" s="18" t="s">
        <v>556</v>
      </c>
      <c r="H324" s="18" t="s">
        <v>649</v>
      </c>
      <c r="I324" s="99">
        <v>0.62</v>
      </c>
      <c r="J324" s="94">
        <f t="shared" si="6"/>
        <v>7.7748</v>
      </c>
      <c r="K324" s="18" t="s">
        <v>651</v>
      </c>
      <c r="L324" s="18" t="s">
        <v>879</v>
      </c>
      <c r="M324" s="18" t="s">
        <v>880</v>
      </c>
      <c r="N324" s="18" t="s">
        <v>881</v>
      </c>
    </row>
    <row r="325" ht="40.5" spans="1:14">
      <c r="A325" s="18">
        <v>342</v>
      </c>
      <c r="B325" s="105" t="s">
        <v>882</v>
      </c>
      <c r="C325" s="18" t="s">
        <v>553</v>
      </c>
      <c r="D325" s="18" t="s">
        <v>23</v>
      </c>
      <c r="E325" s="67" t="s">
        <v>295</v>
      </c>
      <c r="F325" s="18" t="s">
        <v>555</v>
      </c>
      <c r="G325" s="18" t="s">
        <v>556</v>
      </c>
      <c r="H325" s="18" t="s">
        <v>649</v>
      </c>
      <c r="I325" s="99">
        <v>0.776</v>
      </c>
      <c r="J325" s="94">
        <f t="shared" si="6"/>
        <v>9.73104</v>
      </c>
      <c r="K325" s="18" t="s">
        <v>651</v>
      </c>
      <c r="L325" s="18" t="s">
        <v>883</v>
      </c>
      <c r="M325" s="18" t="s">
        <v>884</v>
      </c>
      <c r="N325" s="18" t="s">
        <v>885</v>
      </c>
    </row>
    <row r="326" ht="27" spans="1:14">
      <c r="A326" s="18">
        <v>343</v>
      </c>
      <c r="B326" s="105" t="s">
        <v>886</v>
      </c>
      <c r="C326" s="18" t="s">
        <v>553</v>
      </c>
      <c r="D326" s="18" t="s">
        <v>23</v>
      </c>
      <c r="E326" s="67" t="s">
        <v>295</v>
      </c>
      <c r="F326" s="18" t="s">
        <v>555</v>
      </c>
      <c r="G326" s="18" t="s">
        <v>556</v>
      </c>
      <c r="H326" s="18" t="s">
        <v>649</v>
      </c>
      <c r="I326" s="99">
        <v>0.305</v>
      </c>
      <c r="J326" s="94">
        <f t="shared" si="6"/>
        <v>3.8247</v>
      </c>
      <c r="K326" s="18" t="s">
        <v>651</v>
      </c>
      <c r="L326" s="18" t="s">
        <v>887</v>
      </c>
      <c r="M326" s="18" t="s">
        <v>888</v>
      </c>
      <c r="N326" s="18" t="s">
        <v>885</v>
      </c>
    </row>
    <row r="327" ht="40.5" spans="1:14">
      <c r="A327" s="18">
        <v>344</v>
      </c>
      <c r="B327" s="105" t="s">
        <v>889</v>
      </c>
      <c r="C327" s="18" t="s">
        <v>553</v>
      </c>
      <c r="D327" s="18" t="s">
        <v>23</v>
      </c>
      <c r="E327" s="67" t="s">
        <v>890</v>
      </c>
      <c r="F327" s="18" t="s">
        <v>555</v>
      </c>
      <c r="G327" s="18" t="s">
        <v>556</v>
      </c>
      <c r="H327" s="18" t="s">
        <v>649</v>
      </c>
      <c r="I327" s="99">
        <v>0.3</v>
      </c>
      <c r="J327" s="94">
        <f t="shared" si="6"/>
        <v>3.762</v>
      </c>
      <c r="K327" s="18" t="s">
        <v>651</v>
      </c>
      <c r="L327" s="18">
        <v>24</v>
      </c>
      <c r="M327" s="18">
        <v>410</v>
      </c>
      <c r="N327" s="18" t="s">
        <v>802</v>
      </c>
    </row>
    <row r="328" ht="54" spans="1:14">
      <c r="A328" s="18">
        <v>345</v>
      </c>
      <c r="B328" s="105" t="s">
        <v>891</v>
      </c>
      <c r="C328" s="18" t="s">
        <v>553</v>
      </c>
      <c r="D328" s="18" t="s">
        <v>23</v>
      </c>
      <c r="E328" s="67" t="s">
        <v>890</v>
      </c>
      <c r="F328" s="18" t="s">
        <v>555</v>
      </c>
      <c r="G328" s="18" t="s">
        <v>556</v>
      </c>
      <c r="H328" s="18" t="s">
        <v>649</v>
      </c>
      <c r="I328" s="99">
        <v>0.305</v>
      </c>
      <c r="J328" s="94">
        <f t="shared" si="6"/>
        <v>3.8247</v>
      </c>
      <c r="K328" s="18" t="s">
        <v>651</v>
      </c>
      <c r="L328" s="18">
        <v>8</v>
      </c>
      <c r="M328" s="18">
        <v>485</v>
      </c>
      <c r="N328" s="18" t="s">
        <v>802</v>
      </c>
    </row>
    <row r="329" ht="40.5" spans="1:14">
      <c r="A329" s="18">
        <v>346</v>
      </c>
      <c r="B329" s="105" t="s">
        <v>892</v>
      </c>
      <c r="C329" s="18" t="s">
        <v>553</v>
      </c>
      <c r="D329" s="18" t="s">
        <v>23</v>
      </c>
      <c r="E329" s="101" t="s">
        <v>893</v>
      </c>
      <c r="F329" s="18" t="s">
        <v>555</v>
      </c>
      <c r="G329" s="18" t="s">
        <v>556</v>
      </c>
      <c r="H329" s="18" t="s">
        <v>649</v>
      </c>
      <c r="I329" s="100">
        <v>0.35</v>
      </c>
      <c r="J329" s="94">
        <f t="shared" si="6"/>
        <v>4.389</v>
      </c>
      <c r="K329" s="18" t="s">
        <v>651</v>
      </c>
      <c r="L329" s="18">
        <v>102</v>
      </c>
      <c r="M329" s="18">
        <v>846</v>
      </c>
      <c r="N329" s="18" t="s">
        <v>805</v>
      </c>
    </row>
    <row r="330" ht="40.5" spans="1:14">
      <c r="A330" s="18">
        <v>347</v>
      </c>
      <c r="B330" s="105" t="s">
        <v>894</v>
      </c>
      <c r="C330" s="18" t="s">
        <v>553</v>
      </c>
      <c r="D330" s="18" t="s">
        <v>23</v>
      </c>
      <c r="E330" s="101" t="s">
        <v>893</v>
      </c>
      <c r="F330" s="18" t="s">
        <v>555</v>
      </c>
      <c r="G330" s="18" t="s">
        <v>556</v>
      </c>
      <c r="H330" s="18" t="s">
        <v>649</v>
      </c>
      <c r="I330" s="100">
        <v>1.6</v>
      </c>
      <c r="J330" s="94">
        <f t="shared" si="6"/>
        <v>20.064</v>
      </c>
      <c r="K330" s="18" t="s">
        <v>651</v>
      </c>
      <c r="L330" s="78" t="str">
        <f>VLOOKUP(I330:I345,[2]Sheet1!$A$3:$R$38,12)</f>
        <v>50人</v>
      </c>
      <c r="M330" s="18" t="str">
        <f>VLOOKUP(I330:I345,[2]Sheet1!$A$3:$R$38,13)</f>
        <v>56人</v>
      </c>
      <c r="N330" s="18" t="str">
        <f>VLOOKUP(I330:I345,[2]Sheet1!$A$3:$R$38,14)</f>
        <v>解决二个组村民安全通行问题</v>
      </c>
    </row>
    <row r="331" ht="27" spans="1:14">
      <c r="A331" s="18">
        <v>348</v>
      </c>
      <c r="B331" s="105" t="s">
        <v>895</v>
      </c>
      <c r="C331" s="18" t="s">
        <v>553</v>
      </c>
      <c r="D331" s="18" t="s">
        <v>23</v>
      </c>
      <c r="E331" s="101" t="s">
        <v>896</v>
      </c>
      <c r="F331" s="18" t="s">
        <v>555</v>
      </c>
      <c r="G331" s="18" t="s">
        <v>556</v>
      </c>
      <c r="H331" s="18" t="s">
        <v>649</v>
      </c>
      <c r="I331" s="100">
        <v>1.072</v>
      </c>
      <c r="J331" s="94">
        <f t="shared" si="6"/>
        <v>13.44288</v>
      </c>
      <c r="K331" s="18" t="s">
        <v>651</v>
      </c>
      <c r="L331" s="78" t="str">
        <f>VLOOKUP(I331:I347,[2]Sheet1!$A$3:$R$38,12)</f>
        <v>50人</v>
      </c>
      <c r="M331" s="18" t="str">
        <f>VLOOKUP(I331:I347,[2]Sheet1!$A$3:$R$38,13)</f>
        <v>56人</v>
      </c>
      <c r="N331" s="18" t="str">
        <f>VLOOKUP(I331:I347,[2]Sheet1!$A$3:$R$38,14)</f>
        <v>解决二个组村民安全通行问题</v>
      </c>
    </row>
    <row r="332" ht="27" spans="1:14">
      <c r="A332" s="18">
        <v>349</v>
      </c>
      <c r="B332" s="105" t="s">
        <v>897</v>
      </c>
      <c r="C332" s="18" t="s">
        <v>553</v>
      </c>
      <c r="D332" s="18" t="s">
        <v>23</v>
      </c>
      <c r="E332" s="101" t="s">
        <v>896</v>
      </c>
      <c r="F332" s="18" t="s">
        <v>555</v>
      </c>
      <c r="G332" s="18" t="s">
        <v>556</v>
      </c>
      <c r="H332" s="18" t="s">
        <v>649</v>
      </c>
      <c r="I332" s="100">
        <v>0.46</v>
      </c>
      <c r="J332" s="94">
        <f t="shared" si="6"/>
        <v>5.7684</v>
      </c>
      <c r="K332" s="18" t="s">
        <v>651</v>
      </c>
      <c r="L332" s="18">
        <v>177</v>
      </c>
      <c r="M332" s="18">
        <v>2773</v>
      </c>
      <c r="N332" s="18" t="s">
        <v>898</v>
      </c>
    </row>
    <row r="333" ht="40.5" spans="1:14">
      <c r="A333" s="18">
        <v>350</v>
      </c>
      <c r="B333" s="105" t="s">
        <v>899</v>
      </c>
      <c r="C333" s="18" t="s">
        <v>553</v>
      </c>
      <c r="D333" s="18" t="s">
        <v>23</v>
      </c>
      <c r="E333" s="101" t="s">
        <v>900</v>
      </c>
      <c r="F333" s="18" t="s">
        <v>555</v>
      </c>
      <c r="G333" s="18" t="s">
        <v>556</v>
      </c>
      <c r="H333" s="18" t="s">
        <v>649</v>
      </c>
      <c r="I333" s="100">
        <v>0.365</v>
      </c>
      <c r="J333" s="94">
        <f t="shared" si="6"/>
        <v>4.5771</v>
      </c>
      <c r="K333" s="18" t="s">
        <v>651</v>
      </c>
      <c r="L333" s="18">
        <v>87</v>
      </c>
      <c r="M333" s="18">
        <v>2244</v>
      </c>
      <c r="N333" s="18" t="s">
        <v>901</v>
      </c>
    </row>
    <row r="334" ht="27" spans="1:14">
      <c r="A334" s="18">
        <v>351</v>
      </c>
      <c r="B334" s="105" t="s">
        <v>902</v>
      </c>
      <c r="C334" s="18" t="s">
        <v>553</v>
      </c>
      <c r="D334" s="18" t="s">
        <v>23</v>
      </c>
      <c r="E334" s="101" t="s">
        <v>903</v>
      </c>
      <c r="F334" s="18" t="s">
        <v>555</v>
      </c>
      <c r="G334" s="18" t="s">
        <v>556</v>
      </c>
      <c r="H334" s="18" t="s">
        <v>649</v>
      </c>
      <c r="I334" s="100">
        <v>4.5</v>
      </c>
      <c r="J334" s="94">
        <f t="shared" si="6"/>
        <v>56.43</v>
      </c>
      <c r="K334" s="18" t="s">
        <v>651</v>
      </c>
      <c r="L334" s="78" t="str">
        <f>VLOOKUP(I334:I350,[2]Sheet1!$A$3:$R$38,12)</f>
        <v>47人</v>
      </c>
      <c r="M334" s="18" t="str">
        <f>VLOOKUP(I334:I350,[2]Sheet1!$A$3:$R$38,13)</f>
        <v>321人</v>
      </c>
      <c r="N334" s="18" t="str">
        <f>VLOOKUP(I334:I350,[2]Sheet1!$A$3:$R$38,14)</f>
        <v>解决了368人安全通行问题</v>
      </c>
    </row>
    <row r="335" ht="40.5" spans="1:14">
      <c r="A335" s="18">
        <v>352</v>
      </c>
      <c r="B335" s="105" t="s">
        <v>904</v>
      </c>
      <c r="C335" s="18" t="s">
        <v>553</v>
      </c>
      <c r="D335" s="18" t="s">
        <v>23</v>
      </c>
      <c r="E335" s="101" t="s">
        <v>890</v>
      </c>
      <c r="F335" s="18" t="s">
        <v>555</v>
      </c>
      <c r="G335" s="18" t="s">
        <v>556</v>
      </c>
      <c r="H335" s="18" t="s">
        <v>649</v>
      </c>
      <c r="I335" s="100">
        <v>2.2</v>
      </c>
      <c r="J335" s="94">
        <f t="shared" si="6"/>
        <v>27.588</v>
      </c>
      <c r="K335" s="18" t="s">
        <v>651</v>
      </c>
      <c r="L335" s="78" t="str">
        <f>VLOOKUP(I335:I352,[2]Sheet1!$A$3:$R$38,12)</f>
        <v>18人</v>
      </c>
      <c r="M335" s="18" t="str">
        <f>VLOOKUP(I335:I352,[2]Sheet1!$A$3:$R$38,13)</f>
        <v>80人</v>
      </c>
      <c r="N335" s="18" t="str">
        <f>VLOOKUP(I335:I352,[2]Sheet1!$A$3:$R$38,14)</f>
        <v>解决了一个组村民安全通行</v>
      </c>
    </row>
    <row r="336" ht="40.5" spans="1:14">
      <c r="A336" s="18">
        <v>353</v>
      </c>
      <c r="B336" s="105" t="s">
        <v>905</v>
      </c>
      <c r="C336" s="18" t="s">
        <v>553</v>
      </c>
      <c r="D336" s="18" t="s">
        <v>23</v>
      </c>
      <c r="E336" s="101" t="s">
        <v>298</v>
      </c>
      <c r="F336" s="18" t="s">
        <v>555</v>
      </c>
      <c r="G336" s="18" t="s">
        <v>556</v>
      </c>
      <c r="H336" s="18" t="s">
        <v>649</v>
      </c>
      <c r="I336" s="100">
        <v>0.311</v>
      </c>
      <c r="J336" s="94">
        <f t="shared" si="6"/>
        <v>3.89994</v>
      </c>
      <c r="K336" s="18" t="s">
        <v>651</v>
      </c>
      <c r="L336" s="18" t="s">
        <v>906</v>
      </c>
      <c r="M336" s="18" t="s">
        <v>907</v>
      </c>
      <c r="N336" s="18" t="s">
        <v>908</v>
      </c>
    </row>
    <row r="337" ht="27" spans="1:14">
      <c r="A337" s="18">
        <v>354</v>
      </c>
      <c r="B337" s="105" t="s">
        <v>909</v>
      </c>
      <c r="C337" s="18" t="s">
        <v>553</v>
      </c>
      <c r="D337" s="18" t="s">
        <v>23</v>
      </c>
      <c r="E337" s="101" t="s">
        <v>808</v>
      </c>
      <c r="F337" s="18" t="s">
        <v>555</v>
      </c>
      <c r="G337" s="18" t="s">
        <v>556</v>
      </c>
      <c r="H337" s="18" t="s">
        <v>649</v>
      </c>
      <c r="I337" s="100">
        <v>0.45</v>
      </c>
      <c r="J337" s="94">
        <f t="shared" si="6"/>
        <v>5.643</v>
      </c>
      <c r="K337" s="18" t="s">
        <v>651</v>
      </c>
      <c r="L337" s="18" t="s">
        <v>906</v>
      </c>
      <c r="M337" s="18" t="s">
        <v>907</v>
      </c>
      <c r="N337" s="18" t="s">
        <v>908</v>
      </c>
    </row>
    <row r="338" ht="27" spans="1:14">
      <c r="A338" s="18">
        <v>355</v>
      </c>
      <c r="B338" s="105" t="s">
        <v>910</v>
      </c>
      <c r="C338" s="18" t="s">
        <v>553</v>
      </c>
      <c r="D338" s="18" t="s">
        <v>23</v>
      </c>
      <c r="E338" s="101" t="s">
        <v>604</v>
      </c>
      <c r="F338" s="18" t="s">
        <v>555</v>
      </c>
      <c r="G338" s="18" t="s">
        <v>556</v>
      </c>
      <c r="H338" s="18" t="s">
        <v>649</v>
      </c>
      <c r="I338" s="100">
        <v>1.65</v>
      </c>
      <c r="J338" s="94">
        <f t="shared" si="6"/>
        <v>20.691</v>
      </c>
      <c r="K338" s="18" t="s">
        <v>651</v>
      </c>
      <c r="L338" s="18">
        <v>400</v>
      </c>
      <c r="M338" s="18">
        <v>1100</v>
      </c>
      <c r="N338" s="18" t="s">
        <v>652</v>
      </c>
    </row>
    <row r="339" ht="40.5" spans="1:14">
      <c r="A339" s="18">
        <v>356</v>
      </c>
      <c r="B339" s="105" t="s">
        <v>911</v>
      </c>
      <c r="C339" s="18" t="s">
        <v>553</v>
      </c>
      <c r="D339" s="18" t="s">
        <v>23</v>
      </c>
      <c r="E339" s="101" t="s">
        <v>912</v>
      </c>
      <c r="F339" s="18" t="s">
        <v>555</v>
      </c>
      <c r="G339" s="18" t="s">
        <v>556</v>
      </c>
      <c r="H339" s="18" t="s">
        <v>649</v>
      </c>
      <c r="I339" s="100">
        <v>5.4</v>
      </c>
      <c r="J339" s="94">
        <f t="shared" si="6"/>
        <v>67.716</v>
      </c>
      <c r="K339" s="18" t="s">
        <v>651</v>
      </c>
      <c r="L339" s="18">
        <v>56</v>
      </c>
      <c r="M339" s="18">
        <v>380</v>
      </c>
      <c r="N339" s="18" t="s">
        <v>913</v>
      </c>
    </row>
    <row r="340" ht="40.5" spans="1:14">
      <c r="A340" s="18">
        <v>357</v>
      </c>
      <c r="B340" s="105" t="s">
        <v>914</v>
      </c>
      <c r="C340" s="18" t="s">
        <v>553</v>
      </c>
      <c r="D340" s="18" t="s">
        <v>23</v>
      </c>
      <c r="E340" s="101" t="s">
        <v>912</v>
      </c>
      <c r="F340" s="18" t="s">
        <v>555</v>
      </c>
      <c r="G340" s="18" t="s">
        <v>556</v>
      </c>
      <c r="H340" s="18" t="s">
        <v>649</v>
      </c>
      <c r="I340" s="100">
        <v>0.9</v>
      </c>
      <c r="J340" s="94">
        <f t="shared" si="6"/>
        <v>11.286</v>
      </c>
      <c r="K340" s="18" t="s">
        <v>651</v>
      </c>
      <c r="L340" s="18">
        <v>38</v>
      </c>
      <c r="M340" s="18">
        <v>150</v>
      </c>
      <c r="N340" s="18" t="s">
        <v>915</v>
      </c>
    </row>
    <row r="341" ht="40.5" spans="1:14">
      <c r="A341" s="18">
        <v>358</v>
      </c>
      <c r="B341" s="105" t="s">
        <v>916</v>
      </c>
      <c r="C341" s="18" t="s">
        <v>553</v>
      </c>
      <c r="D341" s="18" t="s">
        <v>23</v>
      </c>
      <c r="E341" s="101" t="s">
        <v>912</v>
      </c>
      <c r="F341" s="18" t="s">
        <v>555</v>
      </c>
      <c r="G341" s="18" t="s">
        <v>556</v>
      </c>
      <c r="H341" s="18" t="s">
        <v>649</v>
      </c>
      <c r="I341" s="100">
        <v>0.335</v>
      </c>
      <c r="J341" s="94">
        <f t="shared" si="6"/>
        <v>4.2009</v>
      </c>
      <c r="K341" s="18" t="s">
        <v>651</v>
      </c>
      <c r="L341" s="18">
        <v>18</v>
      </c>
      <c r="M341" s="18">
        <v>142</v>
      </c>
      <c r="N341" s="18" t="s">
        <v>917</v>
      </c>
    </row>
    <row r="342" ht="27" spans="1:14">
      <c r="A342" s="18">
        <v>359</v>
      </c>
      <c r="B342" s="105" t="s">
        <v>918</v>
      </c>
      <c r="C342" s="18" t="s">
        <v>553</v>
      </c>
      <c r="D342" s="18" t="s">
        <v>23</v>
      </c>
      <c r="E342" s="101" t="s">
        <v>912</v>
      </c>
      <c r="F342" s="18" t="s">
        <v>555</v>
      </c>
      <c r="G342" s="18" t="s">
        <v>556</v>
      </c>
      <c r="H342" s="18" t="s">
        <v>649</v>
      </c>
      <c r="I342" s="100">
        <v>2.771</v>
      </c>
      <c r="J342" s="94">
        <f t="shared" si="6"/>
        <v>34.74834</v>
      </c>
      <c r="K342" s="18" t="s">
        <v>651</v>
      </c>
      <c r="L342" s="18">
        <v>403</v>
      </c>
      <c r="M342" s="18">
        <v>2400</v>
      </c>
      <c r="N342" s="18" t="s">
        <v>919</v>
      </c>
    </row>
    <row r="343" ht="40.5" spans="1:14">
      <c r="A343" s="18">
        <v>360</v>
      </c>
      <c r="B343" s="105" t="s">
        <v>920</v>
      </c>
      <c r="C343" s="18" t="s">
        <v>553</v>
      </c>
      <c r="D343" s="18" t="s">
        <v>23</v>
      </c>
      <c r="E343" s="101" t="s">
        <v>912</v>
      </c>
      <c r="F343" s="18" t="s">
        <v>555</v>
      </c>
      <c r="G343" s="18" t="s">
        <v>556</v>
      </c>
      <c r="H343" s="18" t="s">
        <v>649</v>
      </c>
      <c r="I343" s="100">
        <v>0.52</v>
      </c>
      <c r="J343" s="94">
        <f t="shared" si="6"/>
        <v>6.5208</v>
      </c>
      <c r="K343" s="18" t="s">
        <v>651</v>
      </c>
      <c r="L343" s="18">
        <v>20</v>
      </c>
      <c r="M343" s="18">
        <v>134</v>
      </c>
      <c r="N343" s="18" t="s">
        <v>921</v>
      </c>
    </row>
    <row r="344" ht="40.5" spans="1:14">
      <c r="A344" s="18">
        <v>361</v>
      </c>
      <c r="B344" s="105" t="s">
        <v>922</v>
      </c>
      <c r="C344" s="18" t="s">
        <v>553</v>
      </c>
      <c r="D344" s="18" t="s">
        <v>23</v>
      </c>
      <c r="E344" s="101" t="s">
        <v>923</v>
      </c>
      <c r="F344" s="18" t="s">
        <v>555</v>
      </c>
      <c r="G344" s="18" t="s">
        <v>556</v>
      </c>
      <c r="H344" s="18" t="s">
        <v>649</v>
      </c>
      <c r="I344" s="100">
        <v>0.8</v>
      </c>
      <c r="J344" s="94">
        <f t="shared" si="6"/>
        <v>10.032</v>
      </c>
      <c r="K344" s="18" t="s">
        <v>651</v>
      </c>
      <c r="L344" s="18">
        <v>42</v>
      </c>
      <c r="M344" s="18">
        <v>208</v>
      </c>
      <c r="N344" s="18" t="s">
        <v>924</v>
      </c>
    </row>
    <row r="345" ht="27" spans="1:14">
      <c r="A345" s="18">
        <v>362</v>
      </c>
      <c r="B345" s="105" t="s">
        <v>925</v>
      </c>
      <c r="C345" s="18" t="s">
        <v>553</v>
      </c>
      <c r="D345" s="18" t="s">
        <v>23</v>
      </c>
      <c r="E345" s="101" t="s">
        <v>926</v>
      </c>
      <c r="F345" s="18" t="s">
        <v>555</v>
      </c>
      <c r="G345" s="18" t="s">
        <v>556</v>
      </c>
      <c r="H345" s="18" t="s">
        <v>649</v>
      </c>
      <c r="I345" s="100">
        <v>5.51</v>
      </c>
      <c r="J345" s="94">
        <f t="shared" si="6"/>
        <v>69.0954</v>
      </c>
      <c r="K345" s="18" t="s">
        <v>651</v>
      </c>
      <c r="L345" s="18">
        <v>40</v>
      </c>
      <c r="M345" s="18">
        <v>285</v>
      </c>
      <c r="N345" s="18" t="s">
        <v>927</v>
      </c>
    </row>
    <row r="346" ht="27" spans="1:14">
      <c r="A346" s="18">
        <v>363</v>
      </c>
      <c r="B346" s="105" t="s">
        <v>928</v>
      </c>
      <c r="C346" s="18" t="s">
        <v>553</v>
      </c>
      <c r="D346" s="18" t="s">
        <v>23</v>
      </c>
      <c r="E346" s="101" t="s">
        <v>929</v>
      </c>
      <c r="F346" s="18" t="s">
        <v>555</v>
      </c>
      <c r="G346" s="18" t="s">
        <v>556</v>
      </c>
      <c r="H346" s="18" t="s">
        <v>649</v>
      </c>
      <c r="I346" s="100">
        <v>1.2</v>
      </c>
      <c r="J346" s="94">
        <f t="shared" si="6"/>
        <v>15.048</v>
      </c>
      <c r="K346" s="18" t="s">
        <v>651</v>
      </c>
      <c r="L346" s="18">
        <v>51</v>
      </c>
      <c r="M346" s="18">
        <v>322</v>
      </c>
      <c r="N346" s="18" t="s">
        <v>930</v>
      </c>
    </row>
    <row r="347" ht="40.5" spans="1:14">
      <c r="A347" s="18">
        <v>364</v>
      </c>
      <c r="B347" s="105" t="s">
        <v>931</v>
      </c>
      <c r="C347" s="18" t="s">
        <v>553</v>
      </c>
      <c r="D347" s="18" t="s">
        <v>23</v>
      </c>
      <c r="E347" s="101" t="s">
        <v>929</v>
      </c>
      <c r="F347" s="18" t="s">
        <v>555</v>
      </c>
      <c r="G347" s="18" t="s">
        <v>556</v>
      </c>
      <c r="H347" s="18" t="s">
        <v>649</v>
      </c>
      <c r="I347" s="100">
        <v>2.2</v>
      </c>
      <c r="J347" s="94">
        <f t="shared" si="6"/>
        <v>27.588</v>
      </c>
      <c r="K347" s="18" t="s">
        <v>651</v>
      </c>
      <c r="L347" s="18">
        <v>45</v>
      </c>
      <c r="M347" s="18">
        <v>305</v>
      </c>
      <c r="N347" s="18" t="s">
        <v>932</v>
      </c>
    </row>
    <row r="348" ht="40.5" spans="1:14">
      <c r="A348" s="18">
        <v>365</v>
      </c>
      <c r="B348" s="105" t="s">
        <v>933</v>
      </c>
      <c r="C348" s="18" t="s">
        <v>553</v>
      </c>
      <c r="D348" s="18" t="s">
        <v>23</v>
      </c>
      <c r="E348" s="101" t="s">
        <v>929</v>
      </c>
      <c r="F348" s="18" t="s">
        <v>555</v>
      </c>
      <c r="G348" s="18" t="s">
        <v>556</v>
      </c>
      <c r="H348" s="18" t="s">
        <v>649</v>
      </c>
      <c r="I348" s="100">
        <v>4.5</v>
      </c>
      <c r="J348" s="94">
        <f t="shared" si="6"/>
        <v>56.43</v>
      </c>
      <c r="K348" s="18" t="s">
        <v>651</v>
      </c>
      <c r="L348" s="18">
        <v>51</v>
      </c>
      <c r="M348" s="18">
        <v>322</v>
      </c>
      <c r="N348" s="18" t="s">
        <v>930</v>
      </c>
    </row>
    <row r="349" ht="40.5" spans="1:14">
      <c r="A349" s="18">
        <v>366</v>
      </c>
      <c r="B349" s="105" t="s">
        <v>934</v>
      </c>
      <c r="C349" s="18" t="s">
        <v>553</v>
      </c>
      <c r="D349" s="18" t="s">
        <v>23</v>
      </c>
      <c r="E349" s="101" t="s">
        <v>670</v>
      </c>
      <c r="F349" s="18" t="s">
        <v>555</v>
      </c>
      <c r="G349" s="18" t="s">
        <v>556</v>
      </c>
      <c r="H349" s="18" t="s">
        <v>649</v>
      </c>
      <c r="I349" s="100">
        <v>2.548</v>
      </c>
      <c r="J349" s="94">
        <f t="shared" si="6"/>
        <v>31.95192</v>
      </c>
      <c r="K349" s="18" t="s">
        <v>651</v>
      </c>
      <c r="L349" s="106">
        <v>43</v>
      </c>
      <c r="M349" s="103">
        <v>652</v>
      </c>
      <c r="N349" s="103" t="s">
        <v>935</v>
      </c>
    </row>
    <row r="350" ht="40.5" spans="1:14">
      <c r="A350" s="18">
        <v>367</v>
      </c>
      <c r="B350" s="105" t="s">
        <v>936</v>
      </c>
      <c r="C350" s="18" t="s">
        <v>553</v>
      </c>
      <c r="D350" s="18" t="s">
        <v>23</v>
      </c>
      <c r="E350" s="101" t="s">
        <v>670</v>
      </c>
      <c r="F350" s="18" t="s">
        <v>555</v>
      </c>
      <c r="G350" s="18" t="s">
        <v>556</v>
      </c>
      <c r="H350" s="18" t="s">
        <v>649</v>
      </c>
      <c r="I350" s="100">
        <v>0.7</v>
      </c>
      <c r="J350" s="94">
        <f t="shared" si="6"/>
        <v>8.778</v>
      </c>
      <c r="K350" s="18" t="s">
        <v>651</v>
      </c>
      <c r="L350" s="106">
        <v>10</v>
      </c>
      <c r="M350" s="107">
        <v>162</v>
      </c>
      <c r="N350" s="103" t="s">
        <v>937</v>
      </c>
    </row>
    <row r="351" ht="40.5" spans="1:14">
      <c r="A351" s="18">
        <v>368</v>
      </c>
      <c r="B351" s="105" t="s">
        <v>938</v>
      </c>
      <c r="C351" s="18" t="s">
        <v>553</v>
      </c>
      <c r="D351" s="18" t="s">
        <v>23</v>
      </c>
      <c r="E351" s="101" t="s">
        <v>670</v>
      </c>
      <c r="F351" s="18" t="s">
        <v>555</v>
      </c>
      <c r="G351" s="18" t="s">
        <v>556</v>
      </c>
      <c r="H351" s="18" t="s">
        <v>649</v>
      </c>
      <c r="I351" s="100">
        <v>1</v>
      </c>
      <c r="J351" s="94">
        <f t="shared" si="6"/>
        <v>12.54</v>
      </c>
      <c r="K351" s="18" t="s">
        <v>651</v>
      </c>
      <c r="L351" s="106">
        <v>12</v>
      </c>
      <c r="M351" s="107">
        <v>165</v>
      </c>
      <c r="N351" s="103" t="s">
        <v>939</v>
      </c>
    </row>
    <row r="352" ht="27" spans="1:14">
      <c r="A352" s="18">
        <v>369</v>
      </c>
      <c r="B352" s="105" t="s">
        <v>940</v>
      </c>
      <c r="C352" s="18" t="s">
        <v>553</v>
      </c>
      <c r="D352" s="18" t="s">
        <v>23</v>
      </c>
      <c r="E352" s="101" t="s">
        <v>670</v>
      </c>
      <c r="F352" s="18" t="s">
        <v>555</v>
      </c>
      <c r="G352" s="18" t="s">
        <v>556</v>
      </c>
      <c r="H352" s="18" t="s">
        <v>649</v>
      </c>
      <c r="I352" s="100">
        <v>0.591</v>
      </c>
      <c r="J352" s="94">
        <f t="shared" si="6"/>
        <v>7.41114</v>
      </c>
      <c r="K352" s="18" t="s">
        <v>651</v>
      </c>
      <c r="L352" s="106">
        <v>7</v>
      </c>
      <c r="M352" s="107">
        <v>131</v>
      </c>
      <c r="N352" s="103" t="s">
        <v>941</v>
      </c>
    </row>
    <row r="353" ht="40.5" spans="1:14">
      <c r="A353" s="18">
        <v>370</v>
      </c>
      <c r="B353" s="105" t="s">
        <v>942</v>
      </c>
      <c r="C353" s="18" t="s">
        <v>553</v>
      </c>
      <c r="D353" s="18" t="s">
        <v>23</v>
      </c>
      <c r="E353" s="101" t="s">
        <v>670</v>
      </c>
      <c r="F353" s="18" t="s">
        <v>555</v>
      </c>
      <c r="G353" s="18" t="s">
        <v>556</v>
      </c>
      <c r="H353" s="18" t="s">
        <v>649</v>
      </c>
      <c r="I353" s="100">
        <v>0.306</v>
      </c>
      <c r="J353" s="94">
        <f t="shared" si="6"/>
        <v>3.83724</v>
      </c>
      <c r="K353" s="18" t="s">
        <v>651</v>
      </c>
      <c r="L353" s="106">
        <v>15</v>
      </c>
      <c r="M353" s="107">
        <v>109</v>
      </c>
      <c r="N353" s="103" t="s">
        <v>943</v>
      </c>
    </row>
    <row r="354" ht="40.5" spans="1:14">
      <c r="A354" s="18">
        <v>371</v>
      </c>
      <c r="B354" s="105" t="s">
        <v>944</v>
      </c>
      <c r="C354" s="18" t="s">
        <v>553</v>
      </c>
      <c r="D354" s="18" t="s">
        <v>23</v>
      </c>
      <c r="E354" s="101" t="s">
        <v>698</v>
      </c>
      <c r="F354" s="18" t="s">
        <v>555</v>
      </c>
      <c r="G354" s="18" t="s">
        <v>556</v>
      </c>
      <c r="H354" s="18" t="s">
        <v>649</v>
      </c>
      <c r="I354" s="100">
        <v>1.1</v>
      </c>
      <c r="J354" s="94">
        <f t="shared" si="6"/>
        <v>13.794</v>
      </c>
      <c r="K354" s="18" t="s">
        <v>651</v>
      </c>
      <c r="L354" s="18">
        <v>25</v>
      </c>
      <c r="M354" s="18">
        <v>127</v>
      </c>
      <c r="N354" s="18" t="s">
        <v>945</v>
      </c>
    </row>
    <row r="355" ht="40.5" spans="1:14">
      <c r="A355" s="18">
        <v>372</v>
      </c>
      <c r="B355" s="105" t="s">
        <v>946</v>
      </c>
      <c r="C355" s="18" t="s">
        <v>553</v>
      </c>
      <c r="D355" s="18" t="s">
        <v>23</v>
      </c>
      <c r="E355" s="101" t="s">
        <v>698</v>
      </c>
      <c r="F355" s="18" t="s">
        <v>555</v>
      </c>
      <c r="G355" s="18" t="s">
        <v>556</v>
      </c>
      <c r="H355" s="18" t="s">
        <v>649</v>
      </c>
      <c r="I355" s="100">
        <v>1</v>
      </c>
      <c r="J355" s="94">
        <f t="shared" si="6"/>
        <v>12.54</v>
      </c>
      <c r="K355" s="18" t="s">
        <v>651</v>
      </c>
      <c r="L355" s="18">
        <v>17</v>
      </c>
      <c r="M355" s="18">
        <v>119</v>
      </c>
      <c r="N355" s="18" t="s">
        <v>947</v>
      </c>
    </row>
    <row r="356" ht="40.5" spans="1:14">
      <c r="A356" s="18">
        <v>373</v>
      </c>
      <c r="B356" s="105" t="s">
        <v>948</v>
      </c>
      <c r="C356" s="18" t="s">
        <v>553</v>
      </c>
      <c r="D356" s="18" t="s">
        <v>23</v>
      </c>
      <c r="E356" s="67" t="s">
        <v>698</v>
      </c>
      <c r="F356" s="18" t="s">
        <v>555</v>
      </c>
      <c r="G356" s="18" t="s">
        <v>556</v>
      </c>
      <c r="H356" s="18" t="s">
        <v>649</v>
      </c>
      <c r="I356" s="99">
        <v>0.5</v>
      </c>
      <c r="J356" s="94">
        <f t="shared" si="6"/>
        <v>6.27</v>
      </c>
      <c r="K356" s="18" t="s">
        <v>651</v>
      </c>
      <c r="L356" s="18">
        <v>15</v>
      </c>
      <c r="M356" s="18">
        <v>111</v>
      </c>
      <c r="N356" s="18" t="s">
        <v>949</v>
      </c>
    </row>
    <row r="357" ht="40.5" spans="1:14">
      <c r="A357" s="18">
        <v>374</v>
      </c>
      <c r="B357" s="105" t="s">
        <v>950</v>
      </c>
      <c r="C357" s="18" t="s">
        <v>553</v>
      </c>
      <c r="D357" s="18" t="s">
        <v>23</v>
      </c>
      <c r="E357" s="67" t="s">
        <v>698</v>
      </c>
      <c r="F357" s="18" t="s">
        <v>555</v>
      </c>
      <c r="G357" s="18" t="s">
        <v>556</v>
      </c>
      <c r="H357" s="18" t="s">
        <v>649</v>
      </c>
      <c r="I357" s="99">
        <v>2</v>
      </c>
      <c r="J357" s="94">
        <f t="shared" si="6"/>
        <v>25.08</v>
      </c>
      <c r="K357" s="18" t="s">
        <v>651</v>
      </c>
      <c r="L357" s="18">
        <v>22</v>
      </c>
      <c r="M357" s="18">
        <v>102</v>
      </c>
      <c r="N357" s="18" t="s">
        <v>951</v>
      </c>
    </row>
    <row r="358" ht="40.5" spans="1:14">
      <c r="A358" s="18">
        <v>375</v>
      </c>
      <c r="B358" s="105" t="s">
        <v>952</v>
      </c>
      <c r="C358" s="18" t="s">
        <v>553</v>
      </c>
      <c r="D358" s="18" t="s">
        <v>23</v>
      </c>
      <c r="E358" s="67" t="s">
        <v>698</v>
      </c>
      <c r="F358" s="18" t="s">
        <v>555</v>
      </c>
      <c r="G358" s="18" t="s">
        <v>556</v>
      </c>
      <c r="H358" s="18" t="s">
        <v>649</v>
      </c>
      <c r="I358" s="99">
        <v>0.31</v>
      </c>
      <c r="J358" s="94">
        <f t="shared" si="6"/>
        <v>3.8874</v>
      </c>
      <c r="K358" s="18" t="s">
        <v>651</v>
      </c>
      <c r="L358" s="18">
        <v>11</v>
      </c>
      <c r="M358" s="18">
        <v>172</v>
      </c>
      <c r="N358" s="18" t="s">
        <v>953</v>
      </c>
    </row>
    <row r="359" ht="40.5" spans="1:14">
      <c r="A359" s="18">
        <v>376</v>
      </c>
      <c r="B359" s="105" t="s">
        <v>954</v>
      </c>
      <c r="C359" s="18" t="s">
        <v>553</v>
      </c>
      <c r="D359" s="18" t="s">
        <v>23</v>
      </c>
      <c r="E359" s="67" t="s">
        <v>664</v>
      </c>
      <c r="F359" s="18" t="s">
        <v>555</v>
      </c>
      <c r="G359" s="18" t="s">
        <v>556</v>
      </c>
      <c r="H359" s="18" t="s">
        <v>649</v>
      </c>
      <c r="I359" s="99">
        <v>0.42</v>
      </c>
      <c r="J359" s="94">
        <f t="shared" si="6"/>
        <v>5.2668</v>
      </c>
      <c r="K359" s="18" t="s">
        <v>651</v>
      </c>
      <c r="L359" s="18">
        <v>38</v>
      </c>
      <c r="M359" s="18">
        <v>260</v>
      </c>
      <c r="N359" s="18" t="s">
        <v>955</v>
      </c>
    </row>
    <row r="360" ht="40.5" spans="1:14">
      <c r="A360" s="18">
        <v>377</v>
      </c>
      <c r="B360" s="105" t="s">
        <v>956</v>
      </c>
      <c r="C360" s="18" t="s">
        <v>553</v>
      </c>
      <c r="D360" s="18" t="s">
        <v>23</v>
      </c>
      <c r="E360" s="67" t="s">
        <v>664</v>
      </c>
      <c r="F360" s="18" t="s">
        <v>555</v>
      </c>
      <c r="G360" s="18" t="s">
        <v>556</v>
      </c>
      <c r="H360" s="18" t="s">
        <v>649</v>
      </c>
      <c r="I360" s="99">
        <v>0.6</v>
      </c>
      <c r="J360" s="94">
        <f t="shared" si="6"/>
        <v>7.524</v>
      </c>
      <c r="K360" s="18" t="s">
        <v>651</v>
      </c>
      <c r="L360" s="18">
        <v>10</v>
      </c>
      <c r="M360" s="18">
        <v>102</v>
      </c>
      <c r="N360" s="18" t="s">
        <v>957</v>
      </c>
    </row>
    <row r="361" ht="27" spans="1:14">
      <c r="A361" s="18">
        <v>378</v>
      </c>
      <c r="B361" s="105" t="s">
        <v>958</v>
      </c>
      <c r="C361" s="18" t="s">
        <v>553</v>
      </c>
      <c r="D361" s="18" t="s">
        <v>23</v>
      </c>
      <c r="E361" s="67" t="s">
        <v>664</v>
      </c>
      <c r="F361" s="18" t="s">
        <v>555</v>
      </c>
      <c r="G361" s="18" t="s">
        <v>556</v>
      </c>
      <c r="H361" s="18" t="s">
        <v>649</v>
      </c>
      <c r="I361" s="99">
        <v>0.5</v>
      </c>
      <c r="J361" s="94">
        <f t="shared" si="6"/>
        <v>6.27</v>
      </c>
      <c r="K361" s="18" t="s">
        <v>651</v>
      </c>
      <c r="L361" s="18">
        <v>13</v>
      </c>
      <c r="M361" s="18">
        <v>140</v>
      </c>
      <c r="N361" s="18" t="s">
        <v>959</v>
      </c>
    </row>
    <row r="362" ht="40.5" spans="1:14">
      <c r="A362" s="18">
        <v>379</v>
      </c>
      <c r="B362" s="105" t="s">
        <v>960</v>
      </c>
      <c r="C362" s="18" t="s">
        <v>553</v>
      </c>
      <c r="D362" s="18" t="s">
        <v>23</v>
      </c>
      <c r="E362" s="67" t="s">
        <v>664</v>
      </c>
      <c r="F362" s="18" t="s">
        <v>555</v>
      </c>
      <c r="G362" s="18" t="s">
        <v>556</v>
      </c>
      <c r="H362" s="18" t="s">
        <v>649</v>
      </c>
      <c r="I362" s="99">
        <v>1.264</v>
      </c>
      <c r="J362" s="94">
        <f t="shared" si="6"/>
        <v>15.85056</v>
      </c>
      <c r="K362" s="18" t="s">
        <v>651</v>
      </c>
      <c r="L362" s="18">
        <v>30</v>
      </c>
      <c r="M362" s="18">
        <v>226</v>
      </c>
      <c r="N362" s="18" t="s">
        <v>961</v>
      </c>
    </row>
    <row r="363" ht="40.5" spans="1:14">
      <c r="A363" s="18">
        <v>380</v>
      </c>
      <c r="B363" s="105" t="s">
        <v>962</v>
      </c>
      <c r="C363" s="18" t="s">
        <v>553</v>
      </c>
      <c r="D363" s="18" t="s">
        <v>23</v>
      </c>
      <c r="E363" s="67" t="s">
        <v>826</v>
      </c>
      <c r="F363" s="18" t="s">
        <v>555</v>
      </c>
      <c r="G363" s="18" t="s">
        <v>556</v>
      </c>
      <c r="H363" s="18" t="s">
        <v>649</v>
      </c>
      <c r="I363" s="99">
        <v>0.32</v>
      </c>
      <c r="J363" s="94">
        <f t="shared" si="6"/>
        <v>4.0128</v>
      </c>
      <c r="K363" s="18" t="s">
        <v>651</v>
      </c>
      <c r="L363" s="18">
        <v>16</v>
      </c>
      <c r="M363" s="18">
        <v>150</v>
      </c>
      <c r="N363" s="18" t="s">
        <v>963</v>
      </c>
    </row>
    <row r="364" ht="40.5" spans="1:14">
      <c r="A364" s="18">
        <v>381</v>
      </c>
      <c r="B364" s="105" t="s">
        <v>964</v>
      </c>
      <c r="C364" s="18" t="s">
        <v>553</v>
      </c>
      <c r="D364" s="18" t="s">
        <v>23</v>
      </c>
      <c r="E364" s="67" t="s">
        <v>826</v>
      </c>
      <c r="F364" s="18" t="s">
        <v>555</v>
      </c>
      <c r="G364" s="18" t="s">
        <v>556</v>
      </c>
      <c r="H364" s="18" t="s">
        <v>649</v>
      </c>
      <c r="I364" s="99">
        <v>0.34</v>
      </c>
      <c r="J364" s="94">
        <f t="shared" si="6"/>
        <v>4.2636</v>
      </c>
      <c r="K364" s="18" t="s">
        <v>651</v>
      </c>
      <c r="L364" s="18">
        <v>14</v>
      </c>
      <c r="M364" s="18">
        <v>186</v>
      </c>
      <c r="N364" s="18" t="s">
        <v>965</v>
      </c>
    </row>
    <row r="365" ht="40.5" spans="1:14">
      <c r="A365" s="18">
        <v>382</v>
      </c>
      <c r="B365" s="105" t="s">
        <v>966</v>
      </c>
      <c r="C365" s="18" t="s">
        <v>553</v>
      </c>
      <c r="D365" s="18" t="s">
        <v>23</v>
      </c>
      <c r="E365" s="67" t="s">
        <v>826</v>
      </c>
      <c r="F365" s="18" t="s">
        <v>555</v>
      </c>
      <c r="G365" s="18" t="s">
        <v>556</v>
      </c>
      <c r="H365" s="18" t="s">
        <v>649</v>
      </c>
      <c r="I365" s="99">
        <v>0.95</v>
      </c>
      <c r="J365" s="94">
        <f t="shared" si="6"/>
        <v>11.913</v>
      </c>
      <c r="K365" s="18" t="s">
        <v>651</v>
      </c>
      <c r="L365" s="18">
        <v>27</v>
      </c>
      <c r="M365" s="18">
        <v>174</v>
      </c>
      <c r="N365" s="18" t="s">
        <v>967</v>
      </c>
    </row>
    <row r="366" ht="40.5" spans="1:14">
      <c r="A366" s="18">
        <v>383</v>
      </c>
      <c r="B366" s="105" t="s">
        <v>968</v>
      </c>
      <c r="C366" s="18" t="s">
        <v>553</v>
      </c>
      <c r="D366" s="18" t="s">
        <v>23</v>
      </c>
      <c r="E366" s="67" t="s">
        <v>826</v>
      </c>
      <c r="F366" s="18" t="s">
        <v>555</v>
      </c>
      <c r="G366" s="18" t="s">
        <v>556</v>
      </c>
      <c r="H366" s="18" t="s">
        <v>649</v>
      </c>
      <c r="I366" s="99">
        <v>0.7</v>
      </c>
      <c r="J366" s="94">
        <f t="shared" si="6"/>
        <v>8.778</v>
      </c>
      <c r="K366" s="18" t="s">
        <v>651</v>
      </c>
      <c r="L366" s="18">
        <v>8</v>
      </c>
      <c r="M366" s="18">
        <v>117</v>
      </c>
      <c r="N366" s="18" t="s">
        <v>969</v>
      </c>
    </row>
    <row r="367" ht="54" spans="1:14">
      <c r="A367" s="18">
        <v>384</v>
      </c>
      <c r="B367" s="105" t="s">
        <v>970</v>
      </c>
      <c r="C367" s="18" t="s">
        <v>553</v>
      </c>
      <c r="D367" s="18" t="s">
        <v>23</v>
      </c>
      <c r="E367" s="67" t="s">
        <v>519</v>
      </c>
      <c r="F367" s="18" t="s">
        <v>555</v>
      </c>
      <c r="G367" s="18" t="s">
        <v>556</v>
      </c>
      <c r="H367" s="18" t="s">
        <v>649</v>
      </c>
      <c r="I367" s="99">
        <v>1.7</v>
      </c>
      <c r="J367" s="94">
        <f t="shared" si="6"/>
        <v>21.318</v>
      </c>
      <c r="K367" s="18" t="s">
        <v>651</v>
      </c>
      <c r="L367" s="18">
        <v>10</v>
      </c>
      <c r="M367" s="18">
        <v>105</v>
      </c>
      <c r="N367" s="18" t="s">
        <v>971</v>
      </c>
    </row>
    <row r="368" ht="54" spans="1:14">
      <c r="A368" s="18">
        <v>385</v>
      </c>
      <c r="B368" s="105" t="s">
        <v>972</v>
      </c>
      <c r="C368" s="18" t="s">
        <v>553</v>
      </c>
      <c r="D368" s="18" t="s">
        <v>23</v>
      </c>
      <c r="E368" s="67" t="s">
        <v>519</v>
      </c>
      <c r="F368" s="18" t="s">
        <v>555</v>
      </c>
      <c r="G368" s="18" t="s">
        <v>556</v>
      </c>
      <c r="H368" s="18" t="s">
        <v>649</v>
      </c>
      <c r="I368" s="99">
        <v>0.8</v>
      </c>
      <c r="J368" s="94">
        <f t="shared" si="6"/>
        <v>10.032</v>
      </c>
      <c r="K368" s="18" t="s">
        <v>651</v>
      </c>
      <c r="L368" s="18">
        <v>6</v>
      </c>
      <c r="M368" s="18">
        <v>95</v>
      </c>
      <c r="N368" s="18" t="s">
        <v>973</v>
      </c>
    </row>
    <row r="369" ht="54" spans="1:14">
      <c r="A369" s="18">
        <v>386</v>
      </c>
      <c r="B369" s="105" t="s">
        <v>974</v>
      </c>
      <c r="C369" s="18" t="s">
        <v>553</v>
      </c>
      <c r="D369" s="18" t="s">
        <v>23</v>
      </c>
      <c r="E369" s="67" t="s">
        <v>519</v>
      </c>
      <c r="F369" s="18" t="s">
        <v>555</v>
      </c>
      <c r="G369" s="18" t="s">
        <v>556</v>
      </c>
      <c r="H369" s="18" t="s">
        <v>649</v>
      </c>
      <c r="I369" s="99">
        <v>1.8</v>
      </c>
      <c r="J369" s="94">
        <f t="shared" si="6"/>
        <v>22.572</v>
      </c>
      <c r="K369" s="18" t="s">
        <v>651</v>
      </c>
      <c r="L369" s="18">
        <v>29</v>
      </c>
      <c r="M369" s="18">
        <v>312</v>
      </c>
      <c r="N369" s="18" t="s">
        <v>975</v>
      </c>
    </row>
    <row r="370" ht="40.5" spans="1:14">
      <c r="A370" s="18">
        <v>387</v>
      </c>
      <c r="B370" s="105" t="s">
        <v>976</v>
      </c>
      <c r="C370" s="18" t="s">
        <v>553</v>
      </c>
      <c r="D370" s="18" t="s">
        <v>23</v>
      </c>
      <c r="E370" s="67" t="s">
        <v>833</v>
      </c>
      <c r="F370" s="18" t="s">
        <v>555</v>
      </c>
      <c r="G370" s="18" t="s">
        <v>556</v>
      </c>
      <c r="H370" s="18" t="s">
        <v>649</v>
      </c>
      <c r="I370" s="99">
        <v>0.935</v>
      </c>
      <c r="J370" s="94">
        <f t="shared" si="6"/>
        <v>11.7249</v>
      </c>
      <c r="K370" s="18" t="s">
        <v>651</v>
      </c>
      <c r="L370" s="18">
        <v>10</v>
      </c>
      <c r="M370" s="18">
        <v>150</v>
      </c>
      <c r="N370" s="18" t="s">
        <v>977</v>
      </c>
    </row>
    <row r="371" ht="40.5" spans="1:14">
      <c r="A371" s="18">
        <v>388</v>
      </c>
      <c r="B371" s="105" t="s">
        <v>978</v>
      </c>
      <c r="C371" s="18" t="s">
        <v>553</v>
      </c>
      <c r="D371" s="18" t="s">
        <v>23</v>
      </c>
      <c r="E371" s="67" t="s">
        <v>833</v>
      </c>
      <c r="F371" s="18" t="s">
        <v>555</v>
      </c>
      <c r="G371" s="18" t="s">
        <v>556</v>
      </c>
      <c r="H371" s="18" t="s">
        <v>649</v>
      </c>
      <c r="I371" s="99">
        <v>0.743</v>
      </c>
      <c r="J371" s="94">
        <f t="shared" si="6"/>
        <v>9.31722</v>
      </c>
      <c r="K371" s="18" t="s">
        <v>651</v>
      </c>
      <c r="L371" s="18">
        <v>11</v>
      </c>
      <c r="M371" s="18">
        <v>140</v>
      </c>
      <c r="N371" s="18" t="s">
        <v>979</v>
      </c>
    </row>
    <row r="372" ht="27" spans="1:14">
      <c r="A372" s="18">
        <v>389</v>
      </c>
      <c r="B372" s="105" t="s">
        <v>980</v>
      </c>
      <c r="C372" s="18" t="s">
        <v>553</v>
      </c>
      <c r="D372" s="18" t="s">
        <v>23</v>
      </c>
      <c r="E372" s="67" t="s">
        <v>833</v>
      </c>
      <c r="F372" s="18" t="s">
        <v>555</v>
      </c>
      <c r="G372" s="18" t="s">
        <v>556</v>
      </c>
      <c r="H372" s="18" t="s">
        <v>649</v>
      </c>
      <c r="I372" s="99">
        <v>0.518</v>
      </c>
      <c r="J372" s="94">
        <f t="shared" si="6"/>
        <v>6.49572</v>
      </c>
      <c r="K372" s="18" t="s">
        <v>651</v>
      </c>
      <c r="L372" s="18">
        <v>16</v>
      </c>
      <c r="M372" s="18">
        <v>180</v>
      </c>
      <c r="N372" s="18" t="s">
        <v>981</v>
      </c>
    </row>
    <row r="373" ht="40.5" spans="1:14">
      <c r="A373" s="18">
        <v>390</v>
      </c>
      <c r="B373" s="105" t="s">
        <v>982</v>
      </c>
      <c r="C373" s="18" t="s">
        <v>553</v>
      </c>
      <c r="D373" s="18" t="s">
        <v>23</v>
      </c>
      <c r="E373" s="67" t="s">
        <v>833</v>
      </c>
      <c r="F373" s="18" t="s">
        <v>555</v>
      </c>
      <c r="G373" s="18" t="s">
        <v>556</v>
      </c>
      <c r="H373" s="18" t="s">
        <v>649</v>
      </c>
      <c r="I373" s="99">
        <v>1.729</v>
      </c>
      <c r="J373" s="94">
        <f t="shared" si="6"/>
        <v>21.68166</v>
      </c>
      <c r="K373" s="18" t="s">
        <v>651</v>
      </c>
      <c r="L373" s="18">
        <v>38</v>
      </c>
      <c r="M373" s="18">
        <v>260</v>
      </c>
      <c r="N373" s="18" t="s">
        <v>983</v>
      </c>
    </row>
    <row r="374" ht="40.5" spans="1:14">
      <c r="A374" s="18">
        <v>391</v>
      </c>
      <c r="B374" s="105" t="s">
        <v>984</v>
      </c>
      <c r="C374" s="18" t="s">
        <v>553</v>
      </c>
      <c r="D374" s="18" t="s">
        <v>23</v>
      </c>
      <c r="E374" s="67" t="s">
        <v>833</v>
      </c>
      <c r="F374" s="18" t="s">
        <v>555</v>
      </c>
      <c r="G374" s="18" t="s">
        <v>556</v>
      </c>
      <c r="H374" s="18" t="s">
        <v>649</v>
      </c>
      <c r="I374" s="99">
        <v>1.51</v>
      </c>
      <c r="J374" s="94">
        <f t="shared" si="6"/>
        <v>18.9354</v>
      </c>
      <c r="K374" s="18" t="s">
        <v>651</v>
      </c>
      <c r="L374" s="18">
        <v>28</v>
      </c>
      <c r="M374" s="18">
        <v>240</v>
      </c>
      <c r="N374" s="18" t="s">
        <v>985</v>
      </c>
    </row>
    <row r="375" ht="27" spans="1:14">
      <c r="A375" s="18">
        <v>392</v>
      </c>
      <c r="B375" s="105" t="s">
        <v>986</v>
      </c>
      <c r="C375" s="18" t="s">
        <v>553</v>
      </c>
      <c r="D375" s="18" t="s">
        <v>23</v>
      </c>
      <c r="E375" s="67" t="s">
        <v>987</v>
      </c>
      <c r="F375" s="18" t="s">
        <v>555</v>
      </c>
      <c r="G375" s="18" t="s">
        <v>556</v>
      </c>
      <c r="H375" s="18" t="s">
        <v>649</v>
      </c>
      <c r="I375" s="99">
        <v>0.785</v>
      </c>
      <c r="J375" s="94">
        <f t="shared" si="6"/>
        <v>9.8439</v>
      </c>
      <c r="K375" s="18" t="s">
        <v>651</v>
      </c>
      <c r="L375" s="18">
        <v>45</v>
      </c>
      <c r="M375" s="18">
        <v>150</v>
      </c>
      <c r="N375" s="18" t="s">
        <v>988</v>
      </c>
    </row>
    <row r="376" ht="40.5" spans="1:14">
      <c r="A376" s="18">
        <v>393</v>
      </c>
      <c r="B376" s="105" t="s">
        <v>989</v>
      </c>
      <c r="C376" s="18" t="s">
        <v>553</v>
      </c>
      <c r="D376" s="18" t="s">
        <v>23</v>
      </c>
      <c r="E376" s="67" t="s">
        <v>987</v>
      </c>
      <c r="F376" s="18" t="s">
        <v>555</v>
      </c>
      <c r="G376" s="18" t="s">
        <v>556</v>
      </c>
      <c r="H376" s="18" t="s">
        <v>649</v>
      </c>
      <c r="I376" s="99">
        <v>3.45</v>
      </c>
      <c r="J376" s="94">
        <f t="shared" ref="J376:J434" si="7">I376*38*0.33</f>
        <v>43.263</v>
      </c>
      <c r="K376" s="18" t="s">
        <v>651</v>
      </c>
      <c r="L376" s="18">
        <v>86</v>
      </c>
      <c r="M376" s="18">
        <v>556</v>
      </c>
      <c r="N376" s="18" t="s">
        <v>990</v>
      </c>
    </row>
    <row r="377" ht="40.5" spans="1:14">
      <c r="A377" s="18">
        <v>394</v>
      </c>
      <c r="B377" s="105" t="s">
        <v>991</v>
      </c>
      <c r="C377" s="18" t="s">
        <v>553</v>
      </c>
      <c r="D377" s="18" t="s">
        <v>23</v>
      </c>
      <c r="E377" s="67" t="s">
        <v>987</v>
      </c>
      <c r="F377" s="18" t="s">
        <v>555</v>
      </c>
      <c r="G377" s="18" t="s">
        <v>556</v>
      </c>
      <c r="H377" s="18" t="s">
        <v>649</v>
      </c>
      <c r="I377" s="99">
        <v>0.83</v>
      </c>
      <c r="J377" s="94">
        <f t="shared" si="7"/>
        <v>10.4082</v>
      </c>
      <c r="K377" s="18" t="s">
        <v>651</v>
      </c>
      <c r="L377" s="18">
        <v>40</v>
      </c>
      <c r="M377" s="18">
        <v>310</v>
      </c>
      <c r="N377" s="18" t="s">
        <v>992</v>
      </c>
    </row>
    <row r="378" ht="27" spans="1:14">
      <c r="A378" s="18">
        <v>395</v>
      </c>
      <c r="B378" s="105" t="s">
        <v>993</v>
      </c>
      <c r="C378" s="18" t="s">
        <v>553</v>
      </c>
      <c r="D378" s="18" t="s">
        <v>23</v>
      </c>
      <c r="E378" s="67" t="s">
        <v>987</v>
      </c>
      <c r="F378" s="18" t="s">
        <v>555</v>
      </c>
      <c r="G378" s="18" t="s">
        <v>556</v>
      </c>
      <c r="H378" s="18" t="s">
        <v>649</v>
      </c>
      <c r="I378" s="99">
        <v>0.43</v>
      </c>
      <c r="J378" s="94">
        <f t="shared" si="7"/>
        <v>5.3922</v>
      </c>
      <c r="K378" s="18" t="s">
        <v>651</v>
      </c>
      <c r="L378" s="18">
        <v>35</v>
      </c>
      <c r="M378" s="18">
        <v>210</v>
      </c>
      <c r="N378" s="18" t="s">
        <v>994</v>
      </c>
    </row>
    <row r="379" ht="40.5" spans="1:14">
      <c r="A379" s="18">
        <v>396</v>
      </c>
      <c r="B379" s="105" t="s">
        <v>995</v>
      </c>
      <c r="C379" s="18" t="s">
        <v>553</v>
      </c>
      <c r="D379" s="18" t="s">
        <v>23</v>
      </c>
      <c r="E379" s="67" t="s">
        <v>996</v>
      </c>
      <c r="F379" s="18" t="s">
        <v>555</v>
      </c>
      <c r="G379" s="18" t="s">
        <v>556</v>
      </c>
      <c r="H379" s="18" t="s">
        <v>649</v>
      </c>
      <c r="I379" s="99">
        <v>1.2</v>
      </c>
      <c r="J379" s="94">
        <f t="shared" si="7"/>
        <v>15.048</v>
      </c>
      <c r="K379" s="18" t="s">
        <v>651</v>
      </c>
      <c r="L379" s="18">
        <v>122</v>
      </c>
      <c r="M379" s="18">
        <v>280</v>
      </c>
      <c r="N379" s="19" t="s">
        <v>997</v>
      </c>
    </row>
    <row r="380" ht="40.5" spans="1:14">
      <c r="A380" s="18">
        <v>397</v>
      </c>
      <c r="B380" s="105" t="s">
        <v>998</v>
      </c>
      <c r="C380" s="18" t="s">
        <v>553</v>
      </c>
      <c r="D380" s="18" t="s">
        <v>23</v>
      </c>
      <c r="E380" s="67" t="s">
        <v>519</v>
      </c>
      <c r="F380" s="18" t="s">
        <v>555</v>
      </c>
      <c r="G380" s="18" t="s">
        <v>556</v>
      </c>
      <c r="H380" s="18" t="s">
        <v>649</v>
      </c>
      <c r="I380" s="99">
        <v>1.4</v>
      </c>
      <c r="J380" s="94">
        <f t="shared" si="7"/>
        <v>17.556</v>
      </c>
      <c r="K380" s="18" t="s">
        <v>651</v>
      </c>
      <c r="L380" s="18">
        <v>51</v>
      </c>
      <c r="M380" s="18">
        <v>378</v>
      </c>
      <c r="N380" s="18" t="s">
        <v>854</v>
      </c>
    </row>
    <row r="381" ht="27" spans="1:14">
      <c r="A381" s="18">
        <v>398</v>
      </c>
      <c r="B381" s="105" t="s">
        <v>999</v>
      </c>
      <c r="C381" s="18" t="s">
        <v>553</v>
      </c>
      <c r="D381" s="18" t="s">
        <v>23</v>
      </c>
      <c r="E381" s="67" t="s">
        <v>1000</v>
      </c>
      <c r="F381" s="18" t="s">
        <v>555</v>
      </c>
      <c r="G381" s="18" t="s">
        <v>556</v>
      </c>
      <c r="H381" s="18" t="s">
        <v>649</v>
      </c>
      <c r="I381" s="99">
        <v>1.662</v>
      </c>
      <c r="J381" s="94">
        <f t="shared" si="7"/>
        <v>20.84148</v>
      </c>
      <c r="K381" s="18" t="s">
        <v>651</v>
      </c>
      <c r="L381" s="18">
        <v>422</v>
      </c>
      <c r="M381" s="18">
        <v>2875</v>
      </c>
      <c r="N381" s="18" t="s">
        <v>652</v>
      </c>
    </row>
    <row r="382" ht="27" spans="1:14">
      <c r="A382" s="18">
        <v>399</v>
      </c>
      <c r="B382" s="105" t="s">
        <v>1001</v>
      </c>
      <c r="C382" s="18" t="s">
        <v>553</v>
      </c>
      <c r="D382" s="18" t="s">
        <v>23</v>
      </c>
      <c r="E382" s="67" t="s">
        <v>1002</v>
      </c>
      <c r="F382" s="18" t="s">
        <v>555</v>
      </c>
      <c r="G382" s="18" t="s">
        <v>556</v>
      </c>
      <c r="H382" s="18" t="s">
        <v>649</v>
      </c>
      <c r="I382" s="99">
        <v>2.85</v>
      </c>
      <c r="J382" s="94">
        <f t="shared" si="7"/>
        <v>35.739</v>
      </c>
      <c r="K382" s="18" t="s">
        <v>651</v>
      </c>
      <c r="L382" s="18">
        <v>262</v>
      </c>
      <c r="M382" s="18">
        <v>1043</v>
      </c>
      <c r="N382" s="18" t="s">
        <v>652</v>
      </c>
    </row>
    <row r="383" ht="40.5" spans="1:14">
      <c r="A383" s="18">
        <v>400</v>
      </c>
      <c r="B383" s="105" t="s">
        <v>1003</v>
      </c>
      <c r="C383" s="18" t="s">
        <v>553</v>
      </c>
      <c r="D383" s="18" t="s">
        <v>23</v>
      </c>
      <c r="E383" s="67" t="s">
        <v>1002</v>
      </c>
      <c r="F383" s="18" t="s">
        <v>555</v>
      </c>
      <c r="G383" s="18" t="s">
        <v>556</v>
      </c>
      <c r="H383" s="18" t="s">
        <v>649</v>
      </c>
      <c r="I383" s="99">
        <v>0.84</v>
      </c>
      <c r="J383" s="94">
        <f t="shared" si="7"/>
        <v>10.5336</v>
      </c>
      <c r="K383" s="18" t="s">
        <v>651</v>
      </c>
      <c r="L383" s="18">
        <v>262</v>
      </c>
      <c r="M383" s="18">
        <v>1043</v>
      </c>
      <c r="N383" s="18" t="s">
        <v>652</v>
      </c>
    </row>
    <row r="384" ht="40.5" spans="1:14">
      <c r="A384" s="18">
        <v>401</v>
      </c>
      <c r="B384" s="105" t="s">
        <v>1004</v>
      </c>
      <c r="C384" s="18" t="s">
        <v>553</v>
      </c>
      <c r="D384" s="18" t="s">
        <v>23</v>
      </c>
      <c r="E384" s="67" t="s">
        <v>1002</v>
      </c>
      <c r="F384" s="18" t="s">
        <v>555</v>
      </c>
      <c r="G384" s="18" t="s">
        <v>556</v>
      </c>
      <c r="H384" s="18" t="s">
        <v>649</v>
      </c>
      <c r="I384" s="99">
        <v>0.94</v>
      </c>
      <c r="J384" s="94">
        <f t="shared" si="7"/>
        <v>11.7876</v>
      </c>
      <c r="K384" s="18" t="s">
        <v>651</v>
      </c>
      <c r="L384" s="18">
        <v>262</v>
      </c>
      <c r="M384" s="18">
        <v>1043</v>
      </c>
      <c r="N384" s="18" t="s">
        <v>652</v>
      </c>
    </row>
    <row r="385" ht="27" spans="1:14">
      <c r="A385" s="18">
        <v>402</v>
      </c>
      <c r="B385" s="105" t="s">
        <v>1005</v>
      </c>
      <c r="C385" s="18" t="s">
        <v>553</v>
      </c>
      <c r="D385" s="18" t="s">
        <v>23</v>
      </c>
      <c r="E385" s="67" t="s">
        <v>1006</v>
      </c>
      <c r="F385" s="18" t="s">
        <v>555</v>
      </c>
      <c r="G385" s="18" t="s">
        <v>556</v>
      </c>
      <c r="H385" s="18" t="s">
        <v>649</v>
      </c>
      <c r="I385" s="99">
        <v>0.49</v>
      </c>
      <c r="J385" s="94">
        <f t="shared" si="7"/>
        <v>6.1446</v>
      </c>
      <c r="K385" s="18" t="s">
        <v>651</v>
      </c>
      <c r="L385" s="18">
        <v>181</v>
      </c>
      <c r="M385" s="18">
        <v>1801</v>
      </c>
      <c r="N385" s="18" t="s">
        <v>652</v>
      </c>
    </row>
    <row r="386" ht="40.5" spans="1:14">
      <c r="A386" s="18">
        <v>403</v>
      </c>
      <c r="B386" s="105" t="s">
        <v>1007</v>
      </c>
      <c r="C386" s="18" t="s">
        <v>553</v>
      </c>
      <c r="D386" s="18" t="s">
        <v>23</v>
      </c>
      <c r="E386" s="67" t="s">
        <v>747</v>
      </c>
      <c r="F386" s="18" t="s">
        <v>555</v>
      </c>
      <c r="G386" s="18" t="s">
        <v>556</v>
      </c>
      <c r="H386" s="18" t="s">
        <v>649</v>
      </c>
      <c r="I386" s="99">
        <v>0.9</v>
      </c>
      <c r="J386" s="94">
        <f t="shared" si="7"/>
        <v>11.286</v>
      </c>
      <c r="K386" s="18" t="s">
        <v>651</v>
      </c>
      <c r="L386" s="18">
        <v>59</v>
      </c>
      <c r="M386" s="18">
        <v>1188</v>
      </c>
      <c r="N386" s="18" t="s">
        <v>652</v>
      </c>
    </row>
    <row r="387" ht="40.5" spans="1:14">
      <c r="A387" s="18">
        <v>404</v>
      </c>
      <c r="B387" s="105" t="s">
        <v>1008</v>
      </c>
      <c r="C387" s="18" t="s">
        <v>553</v>
      </c>
      <c r="D387" s="18" t="s">
        <v>23</v>
      </c>
      <c r="E387" s="67" t="s">
        <v>1009</v>
      </c>
      <c r="F387" s="18" t="s">
        <v>555</v>
      </c>
      <c r="G387" s="18" t="s">
        <v>556</v>
      </c>
      <c r="H387" s="18" t="s">
        <v>649</v>
      </c>
      <c r="I387" s="99">
        <v>1.8</v>
      </c>
      <c r="J387" s="94">
        <f t="shared" si="7"/>
        <v>22.572</v>
      </c>
      <c r="K387" s="18" t="s">
        <v>651</v>
      </c>
      <c r="L387" s="18">
        <v>177</v>
      </c>
      <c r="M387" s="18">
        <v>1782</v>
      </c>
      <c r="N387" s="18" t="s">
        <v>652</v>
      </c>
    </row>
    <row r="388" ht="27" spans="1:14">
      <c r="A388" s="18">
        <v>405</v>
      </c>
      <c r="B388" s="105" t="s">
        <v>1010</v>
      </c>
      <c r="C388" s="18" t="s">
        <v>553</v>
      </c>
      <c r="D388" s="18" t="s">
        <v>23</v>
      </c>
      <c r="E388" s="67" t="s">
        <v>695</v>
      </c>
      <c r="F388" s="18" t="s">
        <v>555</v>
      </c>
      <c r="G388" s="18" t="s">
        <v>556</v>
      </c>
      <c r="H388" s="18" t="s">
        <v>649</v>
      </c>
      <c r="I388" s="99">
        <v>0.52</v>
      </c>
      <c r="J388" s="94">
        <f t="shared" si="7"/>
        <v>6.5208</v>
      </c>
      <c r="K388" s="18" t="s">
        <v>651</v>
      </c>
      <c r="L388" s="18">
        <v>328</v>
      </c>
      <c r="M388" s="18">
        <v>2620</v>
      </c>
      <c r="N388" s="18" t="s">
        <v>652</v>
      </c>
    </row>
    <row r="389" ht="40.5" spans="1:14">
      <c r="A389" s="18">
        <v>406</v>
      </c>
      <c r="B389" s="105" t="s">
        <v>1011</v>
      </c>
      <c r="C389" s="18" t="s">
        <v>553</v>
      </c>
      <c r="D389" s="18" t="s">
        <v>23</v>
      </c>
      <c r="E389" s="67" t="s">
        <v>597</v>
      </c>
      <c r="F389" s="18" t="s">
        <v>555</v>
      </c>
      <c r="G389" s="18" t="s">
        <v>556</v>
      </c>
      <c r="H389" s="18" t="s">
        <v>649</v>
      </c>
      <c r="I389" s="99">
        <v>3.1</v>
      </c>
      <c r="J389" s="94">
        <f t="shared" si="7"/>
        <v>38.874</v>
      </c>
      <c r="K389" s="18" t="s">
        <v>651</v>
      </c>
      <c r="L389" s="18">
        <v>110</v>
      </c>
      <c r="M389" s="18">
        <v>925</v>
      </c>
      <c r="N389" s="18" t="s">
        <v>652</v>
      </c>
    </row>
    <row r="390" ht="27" spans="1:14">
      <c r="A390" s="18">
        <v>407</v>
      </c>
      <c r="B390" s="105" t="s">
        <v>1012</v>
      </c>
      <c r="C390" s="18" t="s">
        <v>553</v>
      </c>
      <c r="D390" s="18" t="s">
        <v>23</v>
      </c>
      <c r="E390" s="67" t="s">
        <v>661</v>
      </c>
      <c r="F390" s="18" t="s">
        <v>555</v>
      </c>
      <c r="G390" s="18" t="s">
        <v>556</v>
      </c>
      <c r="H390" s="18" t="s">
        <v>649</v>
      </c>
      <c r="I390" s="99">
        <v>1.5</v>
      </c>
      <c r="J390" s="94">
        <f t="shared" si="7"/>
        <v>18.81</v>
      </c>
      <c r="K390" s="18" t="s">
        <v>651</v>
      </c>
      <c r="L390" s="18">
        <v>508</v>
      </c>
      <c r="M390" s="18">
        <v>1557</v>
      </c>
      <c r="N390" s="18" t="s">
        <v>652</v>
      </c>
    </row>
    <row r="391" ht="40.5" spans="1:14">
      <c r="A391" s="18">
        <v>408</v>
      </c>
      <c r="B391" s="105" t="s">
        <v>1013</v>
      </c>
      <c r="C391" s="18" t="s">
        <v>553</v>
      </c>
      <c r="D391" s="18" t="s">
        <v>23</v>
      </c>
      <c r="E391" s="101" t="s">
        <v>659</v>
      </c>
      <c r="F391" s="18" t="s">
        <v>555</v>
      </c>
      <c r="G391" s="18" t="s">
        <v>556</v>
      </c>
      <c r="H391" s="18" t="s">
        <v>649</v>
      </c>
      <c r="I391" s="100">
        <v>0.3</v>
      </c>
      <c r="J391" s="94">
        <f t="shared" si="7"/>
        <v>3.762</v>
      </c>
      <c r="K391" s="18" t="s">
        <v>651</v>
      </c>
      <c r="L391" s="18">
        <v>112</v>
      </c>
      <c r="M391" s="18">
        <v>1827</v>
      </c>
      <c r="N391" s="18" t="s">
        <v>652</v>
      </c>
    </row>
    <row r="392" ht="40.5" spans="1:14">
      <c r="A392" s="18">
        <v>409</v>
      </c>
      <c r="B392" s="105" t="s">
        <v>1014</v>
      </c>
      <c r="C392" s="18" t="s">
        <v>553</v>
      </c>
      <c r="D392" s="18" t="s">
        <v>23</v>
      </c>
      <c r="E392" s="67" t="s">
        <v>1015</v>
      </c>
      <c r="F392" s="18" t="s">
        <v>555</v>
      </c>
      <c r="G392" s="18" t="s">
        <v>556</v>
      </c>
      <c r="H392" s="18" t="s">
        <v>649</v>
      </c>
      <c r="I392" s="99">
        <v>0.5</v>
      </c>
      <c r="J392" s="94">
        <f t="shared" si="7"/>
        <v>6.27</v>
      </c>
      <c r="K392" s="18" t="s">
        <v>651</v>
      </c>
      <c r="L392" s="18">
        <v>108</v>
      </c>
      <c r="M392" s="18">
        <v>520</v>
      </c>
      <c r="N392" s="18" t="s">
        <v>1016</v>
      </c>
    </row>
    <row r="393" ht="40.5" spans="1:14">
      <c r="A393" s="18">
        <v>410</v>
      </c>
      <c r="B393" s="105" t="s">
        <v>1017</v>
      </c>
      <c r="C393" s="18" t="s">
        <v>553</v>
      </c>
      <c r="D393" s="18" t="s">
        <v>23</v>
      </c>
      <c r="E393" s="67" t="s">
        <v>756</v>
      </c>
      <c r="F393" s="18" t="s">
        <v>555</v>
      </c>
      <c r="G393" s="18" t="s">
        <v>556</v>
      </c>
      <c r="H393" s="18" t="s">
        <v>649</v>
      </c>
      <c r="I393" s="100">
        <v>0.8</v>
      </c>
      <c r="J393" s="94">
        <f t="shared" si="7"/>
        <v>10.032</v>
      </c>
      <c r="K393" s="18" t="s">
        <v>651</v>
      </c>
      <c r="L393" s="18">
        <v>16</v>
      </c>
      <c r="M393" s="18">
        <v>152</v>
      </c>
      <c r="N393" s="18" t="s">
        <v>1018</v>
      </c>
    </row>
    <row r="394" ht="40.5" spans="1:14">
      <c r="A394" s="18">
        <v>411</v>
      </c>
      <c r="B394" s="105" t="s">
        <v>1019</v>
      </c>
      <c r="C394" s="18" t="s">
        <v>553</v>
      </c>
      <c r="D394" s="18" t="s">
        <v>23</v>
      </c>
      <c r="E394" s="67" t="s">
        <v>1020</v>
      </c>
      <c r="F394" s="18" t="s">
        <v>555</v>
      </c>
      <c r="G394" s="18" t="s">
        <v>556</v>
      </c>
      <c r="H394" s="18" t="s">
        <v>649</v>
      </c>
      <c r="I394" s="100">
        <v>0.305</v>
      </c>
      <c r="J394" s="94">
        <f t="shared" si="7"/>
        <v>3.8247</v>
      </c>
      <c r="K394" s="18" t="s">
        <v>651</v>
      </c>
      <c r="L394" s="18">
        <v>549</v>
      </c>
      <c r="M394" s="18">
        <v>2193</v>
      </c>
      <c r="N394" s="18" t="s">
        <v>1021</v>
      </c>
    </row>
    <row r="395" s="2" customFormat="1" ht="43.95" customHeight="1" spans="1:14">
      <c r="A395" s="18">
        <v>412</v>
      </c>
      <c r="B395" s="105" t="s">
        <v>1022</v>
      </c>
      <c r="C395" s="18" t="s">
        <v>553</v>
      </c>
      <c r="D395" s="18" t="s">
        <v>23</v>
      </c>
      <c r="E395" s="67" t="s">
        <v>1023</v>
      </c>
      <c r="F395" s="18" t="s">
        <v>555</v>
      </c>
      <c r="G395" s="18" t="s">
        <v>556</v>
      </c>
      <c r="H395" s="18" t="s">
        <v>649</v>
      </c>
      <c r="I395" s="100">
        <v>0.46</v>
      </c>
      <c r="J395" s="94">
        <f t="shared" si="7"/>
        <v>5.7684</v>
      </c>
      <c r="K395" s="18" t="s">
        <v>651</v>
      </c>
      <c r="L395" s="18">
        <v>38</v>
      </c>
      <c r="M395" s="18">
        <v>468</v>
      </c>
      <c r="N395" s="18" t="s">
        <v>1024</v>
      </c>
    </row>
    <row r="396" ht="40.5" spans="1:14">
      <c r="A396" s="18">
        <v>413</v>
      </c>
      <c r="B396" s="105" t="s">
        <v>1025</v>
      </c>
      <c r="C396" s="18" t="s">
        <v>553</v>
      </c>
      <c r="D396" s="18" t="s">
        <v>23</v>
      </c>
      <c r="E396" s="67" t="s">
        <v>1026</v>
      </c>
      <c r="F396" s="18" t="s">
        <v>555</v>
      </c>
      <c r="G396" s="18" t="s">
        <v>556</v>
      </c>
      <c r="H396" s="18" t="s">
        <v>649</v>
      </c>
      <c r="I396" s="100">
        <v>2.774</v>
      </c>
      <c r="J396" s="94">
        <f t="shared" si="7"/>
        <v>34.78596</v>
      </c>
      <c r="K396" s="18" t="s">
        <v>651</v>
      </c>
      <c r="L396" s="18">
        <v>27</v>
      </c>
      <c r="M396" s="18">
        <v>200</v>
      </c>
      <c r="N396" s="18" t="s">
        <v>1027</v>
      </c>
    </row>
    <row r="397" ht="40.5" spans="1:14">
      <c r="A397" s="18">
        <v>414</v>
      </c>
      <c r="B397" s="105" t="s">
        <v>1028</v>
      </c>
      <c r="C397" s="18" t="s">
        <v>553</v>
      </c>
      <c r="D397" s="18" t="s">
        <v>23</v>
      </c>
      <c r="E397" s="67" t="s">
        <v>1026</v>
      </c>
      <c r="F397" s="18" t="s">
        <v>555</v>
      </c>
      <c r="G397" s="18" t="s">
        <v>556</v>
      </c>
      <c r="H397" s="18" t="s">
        <v>649</v>
      </c>
      <c r="I397" s="99">
        <v>1.906</v>
      </c>
      <c r="J397" s="94">
        <f t="shared" si="7"/>
        <v>23.90124</v>
      </c>
      <c r="K397" s="18" t="s">
        <v>651</v>
      </c>
      <c r="L397" s="18">
        <v>11</v>
      </c>
      <c r="M397" s="18">
        <v>120</v>
      </c>
      <c r="N397" s="18" t="s">
        <v>1029</v>
      </c>
    </row>
    <row r="398" ht="40.5" spans="1:14">
      <c r="A398" s="18">
        <v>415</v>
      </c>
      <c r="B398" s="105" t="s">
        <v>1030</v>
      </c>
      <c r="C398" s="18" t="s">
        <v>553</v>
      </c>
      <c r="D398" s="18" t="s">
        <v>23</v>
      </c>
      <c r="E398" s="67" t="s">
        <v>1031</v>
      </c>
      <c r="F398" s="18" t="s">
        <v>555</v>
      </c>
      <c r="G398" s="18" t="s">
        <v>556</v>
      </c>
      <c r="H398" s="18" t="s">
        <v>649</v>
      </c>
      <c r="I398" s="99">
        <v>0.4</v>
      </c>
      <c r="J398" s="94">
        <f t="shared" si="7"/>
        <v>5.016</v>
      </c>
      <c r="K398" s="18" t="s">
        <v>651</v>
      </c>
      <c r="L398" s="18">
        <v>165</v>
      </c>
      <c r="M398" s="18">
        <v>990</v>
      </c>
      <c r="N398" s="18" t="s">
        <v>1032</v>
      </c>
    </row>
    <row r="399" ht="40.5" spans="1:14">
      <c r="A399" s="18">
        <v>416</v>
      </c>
      <c r="B399" s="105" t="s">
        <v>1033</v>
      </c>
      <c r="C399" s="18" t="s">
        <v>553</v>
      </c>
      <c r="D399" s="18" t="s">
        <v>23</v>
      </c>
      <c r="E399" s="67" t="s">
        <v>1034</v>
      </c>
      <c r="F399" s="18" t="s">
        <v>555</v>
      </c>
      <c r="G399" s="18" t="s">
        <v>556</v>
      </c>
      <c r="H399" s="18" t="s">
        <v>649</v>
      </c>
      <c r="I399" s="99">
        <v>2.277</v>
      </c>
      <c r="J399" s="94">
        <f t="shared" si="7"/>
        <v>28.55358</v>
      </c>
      <c r="K399" s="18" t="s">
        <v>651</v>
      </c>
      <c r="L399" s="18">
        <v>96</v>
      </c>
      <c r="M399" s="18">
        <v>525</v>
      </c>
      <c r="N399" s="18" t="s">
        <v>652</v>
      </c>
    </row>
    <row r="400" ht="40.5" spans="1:14">
      <c r="A400" s="18">
        <v>417</v>
      </c>
      <c r="B400" s="105" t="s">
        <v>1035</v>
      </c>
      <c r="C400" s="18" t="s">
        <v>553</v>
      </c>
      <c r="D400" s="18" t="s">
        <v>23</v>
      </c>
      <c r="E400" s="67" t="s">
        <v>1034</v>
      </c>
      <c r="F400" s="18" t="s">
        <v>555</v>
      </c>
      <c r="G400" s="18" t="s">
        <v>556</v>
      </c>
      <c r="H400" s="18" t="s">
        <v>649</v>
      </c>
      <c r="I400" s="99">
        <v>0.59</v>
      </c>
      <c r="J400" s="94">
        <f t="shared" si="7"/>
        <v>7.3986</v>
      </c>
      <c r="K400" s="18" t="s">
        <v>651</v>
      </c>
      <c r="L400" s="18">
        <v>45</v>
      </c>
      <c r="M400" s="18">
        <v>237</v>
      </c>
      <c r="N400" s="18" t="s">
        <v>652</v>
      </c>
    </row>
    <row r="401" ht="40.5" spans="1:14">
      <c r="A401" s="18">
        <v>418</v>
      </c>
      <c r="B401" s="105" t="s">
        <v>1036</v>
      </c>
      <c r="C401" s="18" t="s">
        <v>553</v>
      </c>
      <c r="D401" s="18" t="s">
        <v>23</v>
      </c>
      <c r="E401" s="67" t="s">
        <v>1037</v>
      </c>
      <c r="F401" s="18" t="s">
        <v>555</v>
      </c>
      <c r="G401" s="18" t="s">
        <v>556</v>
      </c>
      <c r="H401" s="18" t="s">
        <v>649</v>
      </c>
      <c r="I401" s="99">
        <v>0.89</v>
      </c>
      <c r="J401" s="94">
        <f t="shared" si="7"/>
        <v>11.1606</v>
      </c>
      <c r="K401" s="18" t="s">
        <v>651</v>
      </c>
      <c r="L401" s="18">
        <v>63</v>
      </c>
      <c r="M401" s="18">
        <v>400</v>
      </c>
      <c r="N401" s="18" t="s">
        <v>652</v>
      </c>
    </row>
    <row r="402" ht="40.5" spans="1:14">
      <c r="A402" s="18">
        <v>419</v>
      </c>
      <c r="B402" s="105" t="s">
        <v>1038</v>
      </c>
      <c r="C402" s="18" t="s">
        <v>553</v>
      </c>
      <c r="D402" s="18" t="s">
        <v>23</v>
      </c>
      <c r="E402" s="67" t="s">
        <v>1037</v>
      </c>
      <c r="F402" s="18" t="s">
        <v>555</v>
      </c>
      <c r="G402" s="18" t="s">
        <v>556</v>
      </c>
      <c r="H402" s="18" t="s">
        <v>649</v>
      </c>
      <c r="I402" s="99">
        <v>2.83</v>
      </c>
      <c r="J402" s="94">
        <f t="shared" si="7"/>
        <v>35.4882</v>
      </c>
      <c r="K402" s="18" t="s">
        <v>651</v>
      </c>
      <c r="L402" s="18">
        <v>63</v>
      </c>
      <c r="M402" s="18">
        <v>380</v>
      </c>
      <c r="N402" s="18" t="s">
        <v>652</v>
      </c>
    </row>
    <row r="403" ht="40.5" spans="1:14">
      <c r="A403" s="18">
        <v>420</v>
      </c>
      <c r="B403" s="105" t="s">
        <v>1039</v>
      </c>
      <c r="C403" s="18" t="s">
        <v>553</v>
      </c>
      <c r="D403" s="18" t="s">
        <v>23</v>
      </c>
      <c r="E403" s="101" t="s">
        <v>1037</v>
      </c>
      <c r="F403" s="18" t="s">
        <v>555</v>
      </c>
      <c r="G403" s="18" t="s">
        <v>556</v>
      </c>
      <c r="H403" s="18" t="s">
        <v>649</v>
      </c>
      <c r="I403" s="99">
        <v>5</v>
      </c>
      <c r="J403" s="94">
        <f t="shared" si="7"/>
        <v>62.7</v>
      </c>
      <c r="K403" s="18" t="s">
        <v>651</v>
      </c>
      <c r="L403" s="18">
        <v>73</v>
      </c>
      <c r="M403" s="18">
        <v>420</v>
      </c>
      <c r="N403" s="18" t="s">
        <v>652</v>
      </c>
    </row>
    <row r="404" ht="40.5" spans="1:14">
      <c r="A404" s="18">
        <v>421</v>
      </c>
      <c r="B404" s="105" t="s">
        <v>1040</v>
      </c>
      <c r="C404" s="18" t="s">
        <v>553</v>
      </c>
      <c r="D404" s="18" t="s">
        <v>23</v>
      </c>
      <c r="E404" s="67" t="s">
        <v>1041</v>
      </c>
      <c r="F404" s="18" t="s">
        <v>555</v>
      </c>
      <c r="G404" s="18" t="s">
        <v>556</v>
      </c>
      <c r="H404" s="18" t="s">
        <v>649</v>
      </c>
      <c r="I404" s="99">
        <v>0.448</v>
      </c>
      <c r="J404" s="94">
        <f t="shared" si="7"/>
        <v>5.61792</v>
      </c>
      <c r="K404" s="18" t="s">
        <v>651</v>
      </c>
      <c r="L404" s="18">
        <v>271</v>
      </c>
      <c r="M404" s="18">
        <v>320</v>
      </c>
      <c r="N404" s="18" t="s">
        <v>652</v>
      </c>
    </row>
    <row r="405" ht="40.5" spans="1:14">
      <c r="A405" s="18">
        <v>422</v>
      </c>
      <c r="B405" s="105" t="s">
        <v>1042</v>
      </c>
      <c r="C405" s="18" t="s">
        <v>553</v>
      </c>
      <c r="D405" s="18" t="s">
        <v>23</v>
      </c>
      <c r="E405" s="67" t="s">
        <v>1041</v>
      </c>
      <c r="F405" s="18" t="s">
        <v>555</v>
      </c>
      <c r="G405" s="18" t="s">
        <v>556</v>
      </c>
      <c r="H405" s="18" t="s">
        <v>649</v>
      </c>
      <c r="I405" s="99">
        <v>0.638</v>
      </c>
      <c r="J405" s="94">
        <f t="shared" si="7"/>
        <v>8.00052</v>
      </c>
      <c r="K405" s="18" t="s">
        <v>651</v>
      </c>
      <c r="L405" s="18">
        <v>130</v>
      </c>
      <c r="M405" s="18">
        <v>210</v>
      </c>
      <c r="N405" s="18" t="s">
        <v>652</v>
      </c>
    </row>
    <row r="406" ht="27" spans="1:14">
      <c r="A406" s="18">
        <v>423</v>
      </c>
      <c r="B406" s="105" t="s">
        <v>1043</v>
      </c>
      <c r="C406" s="18" t="s">
        <v>553</v>
      </c>
      <c r="D406" s="18" t="s">
        <v>23</v>
      </c>
      <c r="E406" s="67" t="s">
        <v>1044</v>
      </c>
      <c r="F406" s="18" t="s">
        <v>555</v>
      </c>
      <c r="G406" s="18" t="s">
        <v>556</v>
      </c>
      <c r="H406" s="18" t="s">
        <v>649</v>
      </c>
      <c r="I406" s="99">
        <v>0.4</v>
      </c>
      <c r="J406" s="94">
        <f t="shared" si="7"/>
        <v>5.016</v>
      </c>
      <c r="K406" s="18" t="s">
        <v>651</v>
      </c>
      <c r="L406" s="18">
        <v>82</v>
      </c>
      <c r="M406" s="18">
        <v>320</v>
      </c>
      <c r="N406" s="18" t="s">
        <v>652</v>
      </c>
    </row>
    <row r="407" ht="27" spans="1:14">
      <c r="A407" s="18">
        <v>424</v>
      </c>
      <c r="B407" s="105" t="s">
        <v>1045</v>
      </c>
      <c r="C407" s="18" t="s">
        <v>553</v>
      </c>
      <c r="D407" s="18" t="s">
        <v>23</v>
      </c>
      <c r="E407" s="67" t="s">
        <v>709</v>
      </c>
      <c r="F407" s="18" t="s">
        <v>555</v>
      </c>
      <c r="G407" s="18" t="s">
        <v>556</v>
      </c>
      <c r="H407" s="18" t="s">
        <v>649</v>
      </c>
      <c r="I407" s="99">
        <v>0.56</v>
      </c>
      <c r="J407" s="94">
        <f t="shared" si="7"/>
        <v>7.0224</v>
      </c>
      <c r="K407" s="18" t="s">
        <v>651</v>
      </c>
      <c r="L407" s="18">
        <v>480</v>
      </c>
      <c r="M407" s="18">
        <v>840</v>
      </c>
      <c r="N407" s="18" t="s">
        <v>652</v>
      </c>
    </row>
    <row r="408" ht="40.5" spans="1:14">
      <c r="A408" s="18">
        <v>425</v>
      </c>
      <c r="B408" s="105" t="s">
        <v>1046</v>
      </c>
      <c r="C408" s="18" t="s">
        <v>553</v>
      </c>
      <c r="D408" s="18" t="s">
        <v>23</v>
      </c>
      <c r="E408" s="67" t="s">
        <v>575</v>
      </c>
      <c r="F408" s="18" t="s">
        <v>555</v>
      </c>
      <c r="G408" s="18" t="s">
        <v>556</v>
      </c>
      <c r="H408" s="18" t="s">
        <v>649</v>
      </c>
      <c r="I408" s="99">
        <v>2</v>
      </c>
      <c r="J408" s="94">
        <f t="shared" si="7"/>
        <v>25.08</v>
      </c>
      <c r="K408" s="18" t="s">
        <v>651</v>
      </c>
      <c r="L408" s="18">
        <v>248</v>
      </c>
      <c r="M408" s="18">
        <v>480</v>
      </c>
      <c r="N408" s="18" t="s">
        <v>652</v>
      </c>
    </row>
    <row r="409" ht="40.5" spans="1:14">
      <c r="A409" s="18">
        <v>426</v>
      </c>
      <c r="B409" s="105" t="s">
        <v>1047</v>
      </c>
      <c r="C409" s="18" t="s">
        <v>553</v>
      </c>
      <c r="D409" s="18" t="s">
        <v>23</v>
      </c>
      <c r="E409" s="67" t="s">
        <v>566</v>
      </c>
      <c r="F409" s="18" t="s">
        <v>555</v>
      </c>
      <c r="G409" s="18" t="s">
        <v>556</v>
      </c>
      <c r="H409" s="18" t="s">
        <v>649</v>
      </c>
      <c r="I409" s="99">
        <v>2.2</v>
      </c>
      <c r="J409" s="94">
        <f t="shared" si="7"/>
        <v>27.588</v>
      </c>
      <c r="K409" s="18" t="s">
        <v>651</v>
      </c>
      <c r="L409" s="19" t="s">
        <v>1048</v>
      </c>
      <c r="M409" s="19" t="s">
        <v>1049</v>
      </c>
      <c r="N409" s="19" t="s">
        <v>1050</v>
      </c>
    </row>
    <row r="410" ht="40.5" spans="1:14">
      <c r="A410" s="18">
        <v>427</v>
      </c>
      <c r="B410" s="105" t="s">
        <v>1051</v>
      </c>
      <c r="C410" s="18" t="s">
        <v>553</v>
      </c>
      <c r="D410" s="18" t="s">
        <v>23</v>
      </c>
      <c r="E410" s="67" t="s">
        <v>566</v>
      </c>
      <c r="F410" s="18" t="s">
        <v>555</v>
      </c>
      <c r="G410" s="18" t="s">
        <v>556</v>
      </c>
      <c r="H410" s="18" t="s">
        <v>649</v>
      </c>
      <c r="I410" s="99">
        <v>0.35</v>
      </c>
      <c r="J410" s="94">
        <f t="shared" si="7"/>
        <v>4.389</v>
      </c>
      <c r="K410" s="18" t="s">
        <v>651</v>
      </c>
      <c r="L410" s="19" t="s">
        <v>1052</v>
      </c>
      <c r="M410" s="19" t="s">
        <v>1053</v>
      </c>
      <c r="N410" s="19" t="s">
        <v>1054</v>
      </c>
    </row>
    <row r="411" ht="27" spans="1:14">
      <c r="A411" s="18">
        <v>428</v>
      </c>
      <c r="B411" s="105" t="s">
        <v>1055</v>
      </c>
      <c r="C411" s="18" t="s">
        <v>553</v>
      </c>
      <c r="D411" s="18" t="s">
        <v>23</v>
      </c>
      <c r="E411" s="101" t="s">
        <v>566</v>
      </c>
      <c r="F411" s="18" t="s">
        <v>555</v>
      </c>
      <c r="G411" s="18" t="s">
        <v>556</v>
      </c>
      <c r="H411" s="18" t="s">
        <v>649</v>
      </c>
      <c r="I411" s="100">
        <v>0.6</v>
      </c>
      <c r="J411" s="94">
        <f t="shared" si="7"/>
        <v>7.524</v>
      </c>
      <c r="K411" s="18" t="s">
        <v>651</v>
      </c>
      <c r="L411" s="18">
        <v>92</v>
      </c>
      <c r="M411" s="18">
        <v>1354</v>
      </c>
      <c r="N411" s="112" t="s">
        <v>1050</v>
      </c>
    </row>
    <row r="412" ht="40.5" spans="1:14">
      <c r="A412" s="18">
        <v>429</v>
      </c>
      <c r="B412" s="105" t="s">
        <v>1056</v>
      </c>
      <c r="C412" s="18" t="s">
        <v>553</v>
      </c>
      <c r="D412" s="18" t="s">
        <v>23</v>
      </c>
      <c r="E412" s="101" t="s">
        <v>1057</v>
      </c>
      <c r="F412" s="18" t="s">
        <v>555</v>
      </c>
      <c r="G412" s="18" t="s">
        <v>556</v>
      </c>
      <c r="H412" s="18" t="s">
        <v>649</v>
      </c>
      <c r="I412" s="100">
        <v>0.372</v>
      </c>
      <c r="J412" s="94">
        <f t="shared" si="7"/>
        <v>4.66488</v>
      </c>
      <c r="K412" s="18" t="s">
        <v>651</v>
      </c>
      <c r="L412" s="18">
        <v>58</v>
      </c>
      <c r="M412" s="18">
        <v>398</v>
      </c>
      <c r="N412" s="112" t="s">
        <v>1050</v>
      </c>
    </row>
    <row r="413" ht="40.5" spans="1:14">
      <c r="A413" s="18">
        <v>430</v>
      </c>
      <c r="B413" s="105" t="s">
        <v>1058</v>
      </c>
      <c r="C413" s="18" t="s">
        <v>553</v>
      </c>
      <c r="D413" s="18" t="s">
        <v>23</v>
      </c>
      <c r="E413" s="101" t="s">
        <v>1057</v>
      </c>
      <c r="F413" s="18" t="s">
        <v>555</v>
      </c>
      <c r="G413" s="18" t="s">
        <v>556</v>
      </c>
      <c r="H413" s="18" t="s">
        <v>649</v>
      </c>
      <c r="I413" s="100">
        <v>0.41</v>
      </c>
      <c r="J413" s="94">
        <f t="shared" si="7"/>
        <v>5.1414</v>
      </c>
      <c r="K413" s="18" t="s">
        <v>651</v>
      </c>
      <c r="L413" s="18">
        <v>49</v>
      </c>
      <c r="M413" s="18">
        <v>399</v>
      </c>
      <c r="N413" s="112" t="s">
        <v>1050</v>
      </c>
    </row>
    <row r="414" ht="40.5" spans="1:14">
      <c r="A414" s="18">
        <v>431</v>
      </c>
      <c r="B414" s="105" t="s">
        <v>1059</v>
      </c>
      <c r="C414" s="18" t="s">
        <v>553</v>
      </c>
      <c r="D414" s="18" t="s">
        <v>23</v>
      </c>
      <c r="E414" s="101" t="s">
        <v>820</v>
      </c>
      <c r="F414" s="18" t="s">
        <v>555</v>
      </c>
      <c r="G414" s="18" t="s">
        <v>556</v>
      </c>
      <c r="H414" s="18" t="s">
        <v>649</v>
      </c>
      <c r="I414" s="100">
        <v>0.4</v>
      </c>
      <c r="J414" s="94">
        <f t="shared" si="7"/>
        <v>5.016</v>
      </c>
      <c r="K414" s="18" t="s">
        <v>651</v>
      </c>
      <c r="L414" s="18">
        <v>51</v>
      </c>
      <c r="M414" s="18">
        <v>653</v>
      </c>
      <c r="N414" s="112" t="s">
        <v>1050</v>
      </c>
    </row>
    <row r="415" ht="40.5" spans="1:14">
      <c r="A415" s="18">
        <v>432</v>
      </c>
      <c r="B415" s="105" t="s">
        <v>1060</v>
      </c>
      <c r="C415" s="18" t="s">
        <v>553</v>
      </c>
      <c r="D415" s="18" t="s">
        <v>23</v>
      </c>
      <c r="E415" s="101" t="s">
        <v>657</v>
      </c>
      <c r="F415" s="18" t="s">
        <v>555</v>
      </c>
      <c r="G415" s="18" t="s">
        <v>556</v>
      </c>
      <c r="H415" s="18" t="s">
        <v>649</v>
      </c>
      <c r="I415" s="100">
        <v>1.4</v>
      </c>
      <c r="J415" s="94">
        <f t="shared" si="7"/>
        <v>17.556</v>
      </c>
      <c r="K415" s="18" t="s">
        <v>651</v>
      </c>
      <c r="L415" s="18">
        <v>57</v>
      </c>
      <c r="M415" s="18">
        <v>593</v>
      </c>
      <c r="N415" s="112" t="s">
        <v>1050</v>
      </c>
    </row>
    <row r="416" ht="27" spans="1:14">
      <c r="A416" s="18">
        <v>433</v>
      </c>
      <c r="B416" s="105" t="s">
        <v>1061</v>
      </c>
      <c r="C416" s="18" t="s">
        <v>553</v>
      </c>
      <c r="D416" s="18" t="s">
        <v>23</v>
      </c>
      <c r="E416" s="101" t="s">
        <v>1062</v>
      </c>
      <c r="F416" s="18" t="s">
        <v>555</v>
      </c>
      <c r="G416" s="18" t="s">
        <v>556</v>
      </c>
      <c r="H416" s="18" t="s">
        <v>649</v>
      </c>
      <c r="I416" s="100">
        <v>1.7</v>
      </c>
      <c r="J416" s="94">
        <f t="shared" si="7"/>
        <v>21.318</v>
      </c>
      <c r="K416" s="18" t="s">
        <v>651</v>
      </c>
      <c r="L416" s="18">
        <v>126</v>
      </c>
      <c r="M416" s="18">
        <v>712</v>
      </c>
      <c r="N416" s="112" t="s">
        <v>1050</v>
      </c>
    </row>
    <row r="417" ht="27" spans="1:14">
      <c r="A417" s="18">
        <v>434</v>
      </c>
      <c r="B417" s="105" t="s">
        <v>1063</v>
      </c>
      <c r="C417" s="18" t="s">
        <v>553</v>
      </c>
      <c r="D417" s="18" t="s">
        <v>23</v>
      </c>
      <c r="E417" s="101" t="s">
        <v>1062</v>
      </c>
      <c r="F417" s="18" t="s">
        <v>555</v>
      </c>
      <c r="G417" s="18" t="s">
        <v>556</v>
      </c>
      <c r="H417" s="18" t="s">
        <v>649</v>
      </c>
      <c r="I417" s="100">
        <v>1.2</v>
      </c>
      <c r="J417" s="94">
        <f t="shared" si="7"/>
        <v>15.048</v>
      </c>
      <c r="K417" s="18" t="s">
        <v>651</v>
      </c>
      <c r="L417" s="18">
        <v>78</v>
      </c>
      <c r="M417" s="18">
        <v>249</v>
      </c>
      <c r="N417" s="112" t="s">
        <v>1050</v>
      </c>
    </row>
    <row r="418" ht="40.5" spans="1:14">
      <c r="A418" s="18">
        <v>435</v>
      </c>
      <c r="B418" s="105" t="s">
        <v>1064</v>
      </c>
      <c r="C418" s="18" t="s">
        <v>553</v>
      </c>
      <c r="D418" s="18" t="s">
        <v>23</v>
      </c>
      <c r="E418" s="101" t="s">
        <v>1062</v>
      </c>
      <c r="F418" s="18" t="s">
        <v>555</v>
      </c>
      <c r="G418" s="18" t="s">
        <v>556</v>
      </c>
      <c r="H418" s="18" t="s">
        <v>649</v>
      </c>
      <c r="I418" s="100">
        <v>1.4</v>
      </c>
      <c r="J418" s="94">
        <f t="shared" si="7"/>
        <v>17.556</v>
      </c>
      <c r="K418" s="18" t="s">
        <v>651</v>
      </c>
      <c r="L418" s="18">
        <v>97</v>
      </c>
      <c r="M418" s="18">
        <v>297</v>
      </c>
      <c r="N418" s="112" t="s">
        <v>1050</v>
      </c>
    </row>
    <row r="419" ht="40.5" spans="1:14">
      <c r="A419" s="18">
        <v>436</v>
      </c>
      <c r="B419" s="105" t="s">
        <v>1065</v>
      </c>
      <c r="C419" s="18" t="s">
        <v>553</v>
      </c>
      <c r="D419" s="18" t="s">
        <v>23</v>
      </c>
      <c r="E419" s="101" t="s">
        <v>499</v>
      </c>
      <c r="F419" s="18" t="s">
        <v>555</v>
      </c>
      <c r="G419" s="18" t="s">
        <v>556</v>
      </c>
      <c r="H419" s="18" t="s">
        <v>649</v>
      </c>
      <c r="I419" s="100">
        <v>0.31</v>
      </c>
      <c r="J419" s="94">
        <f t="shared" si="7"/>
        <v>3.8874</v>
      </c>
      <c r="K419" s="18" t="s">
        <v>651</v>
      </c>
      <c r="L419" s="18">
        <v>184</v>
      </c>
      <c r="M419" s="18">
        <v>948</v>
      </c>
      <c r="N419" s="18" t="s">
        <v>1066</v>
      </c>
    </row>
    <row r="420" ht="40.5" spans="1:14">
      <c r="A420" s="18">
        <v>437</v>
      </c>
      <c r="B420" s="105" t="s">
        <v>1067</v>
      </c>
      <c r="C420" s="18" t="s">
        <v>553</v>
      </c>
      <c r="D420" s="18" t="s">
        <v>23</v>
      </c>
      <c r="E420" s="101" t="s">
        <v>912</v>
      </c>
      <c r="F420" s="18" t="s">
        <v>555</v>
      </c>
      <c r="G420" s="18" t="s">
        <v>556</v>
      </c>
      <c r="H420" s="18" t="s">
        <v>649</v>
      </c>
      <c r="I420" s="100">
        <v>0.9</v>
      </c>
      <c r="J420" s="94">
        <f t="shared" si="7"/>
        <v>11.286</v>
      </c>
      <c r="K420" s="18" t="s">
        <v>651</v>
      </c>
      <c r="L420" s="18">
        <v>29</v>
      </c>
      <c r="M420" s="18">
        <v>182</v>
      </c>
      <c r="N420" s="18" t="s">
        <v>1068</v>
      </c>
    </row>
    <row r="421" ht="40.5" spans="1:14">
      <c r="A421" s="18">
        <v>438</v>
      </c>
      <c r="B421" s="105" t="s">
        <v>1069</v>
      </c>
      <c r="C421" s="18" t="s">
        <v>553</v>
      </c>
      <c r="D421" s="18" t="s">
        <v>23</v>
      </c>
      <c r="E421" s="67" t="s">
        <v>926</v>
      </c>
      <c r="F421" s="18" t="s">
        <v>555</v>
      </c>
      <c r="G421" s="18" t="s">
        <v>556</v>
      </c>
      <c r="H421" s="18" t="s">
        <v>649</v>
      </c>
      <c r="I421" s="99">
        <v>0.48</v>
      </c>
      <c r="J421" s="94">
        <f t="shared" si="7"/>
        <v>6.0192</v>
      </c>
      <c r="K421" s="18" t="s">
        <v>651</v>
      </c>
      <c r="L421" s="18">
        <v>232</v>
      </c>
      <c r="M421" s="18">
        <v>1053</v>
      </c>
      <c r="N421" s="18" t="s">
        <v>1070</v>
      </c>
    </row>
    <row r="422" ht="40.5" spans="1:14">
      <c r="A422" s="18">
        <v>439</v>
      </c>
      <c r="B422" s="105" t="s">
        <v>1071</v>
      </c>
      <c r="C422" s="18" t="s">
        <v>553</v>
      </c>
      <c r="D422" s="18" t="s">
        <v>23</v>
      </c>
      <c r="E422" s="67" t="s">
        <v>761</v>
      </c>
      <c r="F422" s="18" t="s">
        <v>555</v>
      </c>
      <c r="G422" s="18" t="s">
        <v>556</v>
      </c>
      <c r="H422" s="18" t="s">
        <v>649</v>
      </c>
      <c r="I422" s="99">
        <v>0.658</v>
      </c>
      <c r="J422" s="94">
        <f t="shared" si="7"/>
        <v>8.25132</v>
      </c>
      <c r="K422" s="18" t="s">
        <v>651</v>
      </c>
      <c r="L422" s="18">
        <v>20</v>
      </c>
      <c r="M422" s="18">
        <v>120</v>
      </c>
      <c r="N422" s="18" t="s">
        <v>652</v>
      </c>
    </row>
    <row r="423" ht="40.5" spans="1:14">
      <c r="A423" s="18">
        <v>440</v>
      </c>
      <c r="B423" s="105" t="s">
        <v>1072</v>
      </c>
      <c r="C423" s="18" t="s">
        <v>553</v>
      </c>
      <c r="D423" s="18" t="s">
        <v>23</v>
      </c>
      <c r="E423" s="67" t="s">
        <v>579</v>
      </c>
      <c r="F423" s="18" t="s">
        <v>555</v>
      </c>
      <c r="G423" s="18" t="s">
        <v>556</v>
      </c>
      <c r="H423" s="18" t="s">
        <v>649</v>
      </c>
      <c r="I423" s="99">
        <v>0.32</v>
      </c>
      <c r="J423" s="94">
        <f t="shared" si="7"/>
        <v>4.0128</v>
      </c>
      <c r="K423" s="18" t="s">
        <v>651</v>
      </c>
      <c r="L423" s="18">
        <v>547</v>
      </c>
      <c r="M423" s="18">
        <v>1630</v>
      </c>
      <c r="N423" s="113" t="s">
        <v>1073</v>
      </c>
    </row>
    <row r="424" ht="40.5" spans="1:14">
      <c r="A424" s="18">
        <v>441</v>
      </c>
      <c r="B424" s="105" t="s">
        <v>1074</v>
      </c>
      <c r="C424" s="18" t="s">
        <v>553</v>
      </c>
      <c r="D424" s="18" t="s">
        <v>23</v>
      </c>
      <c r="E424" s="67" t="s">
        <v>1075</v>
      </c>
      <c r="F424" s="18" t="s">
        <v>555</v>
      </c>
      <c r="G424" s="18" t="s">
        <v>556</v>
      </c>
      <c r="H424" s="18" t="s">
        <v>649</v>
      </c>
      <c r="I424" s="99">
        <v>0.44</v>
      </c>
      <c r="J424" s="94">
        <f t="shared" si="7"/>
        <v>5.5176</v>
      </c>
      <c r="K424" s="18" t="s">
        <v>651</v>
      </c>
      <c r="L424" s="18">
        <v>101</v>
      </c>
      <c r="M424" s="18">
        <v>659</v>
      </c>
      <c r="N424" s="18" t="s">
        <v>1050</v>
      </c>
    </row>
    <row r="425" ht="39" customHeight="1" spans="1:14">
      <c r="A425" s="18">
        <v>442</v>
      </c>
      <c r="B425" s="105" t="s">
        <v>1076</v>
      </c>
      <c r="C425" s="18" t="s">
        <v>553</v>
      </c>
      <c r="D425" s="18" t="s">
        <v>23</v>
      </c>
      <c r="E425" s="67" t="s">
        <v>815</v>
      </c>
      <c r="F425" s="18" t="s">
        <v>555</v>
      </c>
      <c r="G425" s="18" t="s">
        <v>556</v>
      </c>
      <c r="H425" s="18" t="s">
        <v>649</v>
      </c>
      <c r="I425" s="99">
        <v>3.1</v>
      </c>
      <c r="J425" s="94">
        <f t="shared" si="7"/>
        <v>38.874</v>
      </c>
      <c r="K425" s="18" t="s">
        <v>651</v>
      </c>
      <c r="L425" s="18">
        <v>65</v>
      </c>
      <c r="M425" s="18">
        <v>589</v>
      </c>
      <c r="N425" s="18" t="s">
        <v>1050</v>
      </c>
    </row>
    <row r="426" ht="40.5" spans="1:14">
      <c r="A426" s="18">
        <v>443</v>
      </c>
      <c r="B426" s="105" t="s">
        <v>1077</v>
      </c>
      <c r="C426" s="18" t="s">
        <v>553</v>
      </c>
      <c r="D426" s="18" t="s">
        <v>23</v>
      </c>
      <c r="E426" s="67" t="s">
        <v>815</v>
      </c>
      <c r="F426" s="18" t="s">
        <v>555</v>
      </c>
      <c r="G426" s="18" t="s">
        <v>556</v>
      </c>
      <c r="H426" s="18" t="s">
        <v>649</v>
      </c>
      <c r="I426" s="99">
        <v>0.6</v>
      </c>
      <c r="J426" s="94">
        <f t="shared" si="7"/>
        <v>7.524</v>
      </c>
      <c r="K426" s="18" t="s">
        <v>651</v>
      </c>
      <c r="L426" s="18">
        <v>49</v>
      </c>
      <c r="M426" s="18">
        <v>496</v>
      </c>
      <c r="N426" s="18" t="s">
        <v>1050</v>
      </c>
    </row>
    <row r="427" ht="40.5" spans="1:14">
      <c r="A427" s="18">
        <v>444</v>
      </c>
      <c r="B427" s="105" t="s">
        <v>1078</v>
      </c>
      <c r="C427" s="18" t="s">
        <v>553</v>
      </c>
      <c r="D427" s="18" t="s">
        <v>23</v>
      </c>
      <c r="E427" s="67" t="s">
        <v>815</v>
      </c>
      <c r="F427" s="18" t="s">
        <v>555</v>
      </c>
      <c r="G427" s="18" t="s">
        <v>556</v>
      </c>
      <c r="H427" s="18" t="s">
        <v>649</v>
      </c>
      <c r="I427" s="99">
        <v>1</v>
      </c>
      <c r="J427" s="94">
        <f t="shared" si="7"/>
        <v>12.54</v>
      </c>
      <c r="K427" s="18" t="s">
        <v>651</v>
      </c>
      <c r="L427" s="18">
        <v>65</v>
      </c>
      <c r="M427" s="18">
        <v>589</v>
      </c>
      <c r="N427" s="18" t="s">
        <v>1050</v>
      </c>
    </row>
    <row r="428" ht="40.5" spans="1:14">
      <c r="A428" s="18">
        <v>445</v>
      </c>
      <c r="B428" s="105" t="s">
        <v>1079</v>
      </c>
      <c r="C428" s="18" t="s">
        <v>553</v>
      </c>
      <c r="D428" s="18" t="s">
        <v>23</v>
      </c>
      <c r="E428" s="67" t="s">
        <v>703</v>
      </c>
      <c r="F428" s="18" t="s">
        <v>555</v>
      </c>
      <c r="G428" s="18" t="s">
        <v>556</v>
      </c>
      <c r="H428" s="18" t="s">
        <v>649</v>
      </c>
      <c r="I428" s="99">
        <v>1.2</v>
      </c>
      <c r="J428" s="94">
        <f t="shared" si="7"/>
        <v>15.048</v>
      </c>
      <c r="K428" s="18" t="s">
        <v>651</v>
      </c>
      <c r="L428" s="18">
        <v>55</v>
      </c>
      <c r="M428" s="18">
        <v>469</v>
      </c>
      <c r="N428" s="18" t="s">
        <v>1050</v>
      </c>
    </row>
    <row r="429" ht="40.5" spans="1:14">
      <c r="A429" s="18">
        <v>446</v>
      </c>
      <c r="B429" s="105" t="s">
        <v>1080</v>
      </c>
      <c r="C429" s="18" t="s">
        <v>553</v>
      </c>
      <c r="D429" s="18" t="s">
        <v>23</v>
      </c>
      <c r="E429" s="67" t="s">
        <v>703</v>
      </c>
      <c r="F429" s="18" t="s">
        <v>555</v>
      </c>
      <c r="G429" s="18" t="s">
        <v>556</v>
      </c>
      <c r="H429" s="18" t="s">
        <v>649</v>
      </c>
      <c r="I429" s="100">
        <v>0.53</v>
      </c>
      <c r="J429" s="94">
        <f t="shared" si="7"/>
        <v>6.6462</v>
      </c>
      <c r="K429" s="18" t="s">
        <v>651</v>
      </c>
      <c r="L429" s="18">
        <v>47</v>
      </c>
      <c r="M429" s="18">
        <v>432</v>
      </c>
      <c r="N429" s="18" t="s">
        <v>1050</v>
      </c>
    </row>
    <row r="430" ht="40.5" spans="1:14">
      <c r="A430" s="18">
        <v>447</v>
      </c>
      <c r="B430" s="105" t="s">
        <v>1081</v>
      </c>
      <c r="C430" s="18" t="s">
        <v>553</v>
      </c>
      <c r="D430" s="18" t="s">
        <v>23</v>
      </c>
      <c r="E430" s="67" t="s">
        <v>1062</v>
      </c>
      <c r="F430" s="18" t="s">
        <v>555</v>
      </c>
      <c r="G430" s="18" t="s">
        <v>556</v>
      </c>
      <c r="H430" s="18" t="s">
        <v>649</v>
      </c>
      <c r="I430" s="100">
        <v>2.15</v>
      </c>
      <c r="J430" s="94">
        <f t="shared" si="7"/>
        <v>26.961</v>
      </c>
      <c r="K430" s="18" t="s">
        <v>651</v>
      </c>
      <c r="L430" s="18">
        <v>106</v>
      </c>
      <c r="M430" s="18">
        <v>652</v>
      </c>
      <c r="N430" s="18" t="s">
        <v>1050</v>
      </c>
    </row>
    <row r="431" ht="34.95" customHeight="1" spans="1:14">
      <c r="A431" s="18">
        <v>448</v>
      </c>
      <c r="B431" s="105" t="s">
        <v>1082</v>
      </c>
      <c r="C431" s="18" t="s">
        <v>553</v>
      </c>
      <c r="D431" s="18" t="s">
        <v>23</v>
      </c>
      <c r="E431" s="67" t="s">
        <v>657</v>
      </c>
      <c r="F431" s="18" t="s">
        <v>555</v>
      </c>
      <c r="G431" s="18" t="s">
        <v>556</v>
      </c>
      <c r="H431" s="18" t="s">
        <v>649</v>
      </c>
      <c r="I431" s="99">
        <v>1.17</v>
      </c>
      <c r="J431" s="94">
        <f t="shared" si="7"/>
        <v>14.6718</v>
      </c>
      <c r="K431" s="18" t="s">
        <v>651</v>
      </c>
      <c r="L431" s="18">
        <v>41</v>
      </c>
      <c r="M431" s="18">
        <v>379</v>
      </c>
      <c r="N431" s="18" t="s">
        <v>1050</v>
      </c>
    </row>
    <row r="432" ht="52.05" customHeight="1" spans="1:14">
      <c r="A432" s="18">
        <v>449</v>
      </c>
      <c r="B432" s="105" t="s">
        <v>1083</v>
      </c>
      <c r="C432" s="18" t="s">
        <v>553</v>
      </c>
      <c r="D432" s="18" t="s">
        <v>23</v>
      </c>
      <c r="E432" s="67" t="s">
        <v>1057</v>
      </c>
      <c r="F432" s="18" t="s">
        <v>555</v>
      </c>
      <c r="G432" s="18" t="s">
        <v>556</v>
      </c>
      <c r="H432" s="18" t="s">
        <v>649</v>
      </c>
      <c r="I432" s="99">
        <v>3.38</v>
      </c>
      <c r="J432" s="94">
        <f t="shared" si="7"/>
        <v>42.3852</v>
      </c>
      <c r="K432" s="18" t="s">
        <v>651</v>
      </c>
      <c r="L432" s="18">
        <v>65</v>
      </c>
      <c r="M432" s="18">
        <v>652</v>
      </c>
      <c r="N432" s="18" t="s">
        <v>1050</v>
      </c>
    </row>
    <row r="433" ht="34.95" customHeight="1" spans="1:14">
      <c r="A433" s="18">
        <v>450</v>
      </c>
      <c r="B433" s="105" t="s">
        <v>1084</v>
      </c>
      <c r="C433" s="18" t="s">
        <v>553</v>
      </c>
      <c r="D433" s="18" t="s">
        <v>23</v>
      </c>
      <c r="E433" s="101" t="s">
        <v>1057</v>
      </c>
      <c r="F433" s="18" t="s">
        <v>555</v>
      </c>
      <c r="G433" s="18" t="s">
        <v>556</v>
      </c>
      <c r="H433" s="18" t="s">
        <v>649</v>
      </c>
      <c r="I433" s="100">
        <v>0.36</v>
      </c>
      <c r="J433" s="94">
        <f t="shared" si="7"/>
        <v>4.5144</v>
      </c>
      <c r="K433" s="18" t="s">
        <v>651</v>
      </c>
      <c r="L433" s="18">
        <v>59</v>
      </c>
      <c r="M433" s="18">
        <v>597</v>
      </c>
      <c r="N433" s="18" t="s">
        <v>1050</v>
      </c>
    </row>
    <row r="434" ht="40.5" spans="1:14">
      <c r="A434" s="18">
        <v>451</v>
      </c>
      <c r="B434" s="18" t="s">
        <v>1085</v>
      </c>
      <c r="C434" s="18" t="s">
        <v>553</v>
      </c>
      <c r="D434" s="18" t="s">
        <v>23</v>
      </c>
      <c r="E434" s="101" t="s">
        <v>1044</v>
      </c>
      <c r="F434" s="18" t="s">
        <v>555</v>
      </c>
      <c r="G434" s="18" t="s">
        <v>556</v>
      </c>
      <c r="H434" s="18" t="s">
        <v>649</v>
      </c>
      <c r="I434" s="100">
        <v>0.5</v>
      </c>
      <c r="J434" s="94">
        <f t="shared" si="7"/>
        <v>6.27</v>
      </c>
      <c r="K434" s="18" t="s">
        <v>651</v>
      </c>
      <c r="L434" s="98">
        <v>91.5</v>
      </c>
      <c r="M434" s="98">
        <v>127.5</v>
      </c>
      <c r="N434" s="18" t="s">
        <v>652</v>
      </c>
    </row>
    <row r="435" s="3" customFormat="1" ht="25.95" customHeight="1" spans="1:14">
      <c r="A435" s="18">
        <v>452</v>
      </c>
      <c r="B435" s="18" t="s">
        <v>1086</v>
      </c>
      <c r="C435" s="18" t="s">
        <v>553</v>
      </c>
      <c r="D435" s="18" t="s">
        <v>23</v>
      </c>
      <c r="E435" s="101" t="s">
        <v>1044</v>
      </c>
      <c r="F435" s="18" t="s">
        <v>555</v>
      </c>
      <c r="G435" s="18" t="s">
        <v>556</v>
      </c>
      <c r="H435" s="18" t="s">
        <v>649</v>
      </c>
      <c r="I435" s="101" t="s">
        <v>1087</v>
      </c>
      <c r="J435" s="94">
        <v>25</v>
      </c>
      <c r="K435" s="18" t="s">
        <v>651</v>
      </c>
      <c r="L435" s="98">
        <v>76.32</v>
      </c>
      <c r="M435" s="98">
        <v>102.2</v>
      </c>
      <c r="N435" s="18" t="s">
        <v>652</v>
      </c>
    </row>
    <row r="436" ht="57" customHeight="1" spans="1:14">
      <c r="A436" s="18">
        <v>453</v>
      </c>
      <c r="B436" s="18" t="s">
        <v>1088</v>
      </c>
      <c r="C436" s="18" t="s">
        <v>553</v>
      </c>
      <c r="D436" s="18" t="s">
        <v>23</v>
      </c>
      <c r="E436" s="101" t="s">
        <v>604</v>
      </c>
      <c r="F436" s="18" t="s">
        <v>555</v>
      </c>
      <c r="G436" s="18" t="s">
        <v>556</v>
      </c>
      <c r="H436" s="18" t="s">
        <v>649</v>
      </c>
      <c r="I436" s="100">
        <v>2.5</v>
      </c>
      <c r="J436" s="94">
        <v>30.19516</v>
      </c>
      <c r="K436" s="18" t="s">
        <v>651</v>
      </c>
      <c r="L436" s="98">
        <v>157.5</v>
      </c>
      <c r="M436" s="98">
        <v>234</v>
      </c>
      <c r="N436" s="18" t="s">
        <v>652</v>
      </c>
    </row>
    <row r="437" ht="57" customHeight="1" spans="1:14">
      <c r="A437" s="18">
        <v>454</v>
      </c>
      <c r="B437" s="18" t="s">
        <v>1089</v>
      </c>
      <c r="C437" s="18" t="s">
        <v>553</v>
      </c>
      <c r="D437" s="18" t="s">
        <v>23</v>
      </c>
      <c r="E437" s="18" t="s">
        <v>582</v>
      </c>
      <c r="F437" s="18" t="s">
        <v>555</v>
      </c>
      <c r="G437" s="18" t="s">
        <v>556</v>
      </c>
      <c r="H437" s="18" t="s">
        <v>649</v>
      </c>
      <c r="I437" s="101" t="s">
        <v>638</v>
      </c>
      <c r="J437" s="78">
        <v>41</v>
      </c>
      <c r="K437" s="18" t="s">
        <v>651</v>
      </c>
      <c r="L437" s="18">
        <v>47</v>
      </c>
      <c r="M437" s="18">
        <v>432</v>
      </c>
      <c r="N437" s="18" t="s">
        <v>1090</v>
      </c>
    </row>
    <row r="438" ht="57" customHeight="1" spans="1:14">
      <c r="A438" s="18">
        <v>455</v>
      </c>
      <c r="B438" s="18" t="s">
        <v>1091</v>
      </c>
      <c r="C438" s="18" t="s">
        <v>553</v>
      </c>
      <c r="D438" s="18" t="s">
        <v>23</v>
      </c>
      <c r="E438" s="18" t="s">
        <v>1092</v>
      </c>
      <c r="F438" s="18" t="s">
        <v>555</v>
      </c>
      <c r="G438" s="18" t="s">
        <v>556</v>
      </c>
      <c r="H438" s="18" t="s">
        <v>649</v>
      </c>
      <c r="I438" s="101" t="s">
        <v>638</v>
      </c>
      <c r="J438" s="78">
        <v>46.25</v>
      </c>
      <c r="K438" s="18" t="s">
        <v>651</v>
      </c>
      <c r="L438" s="18">
        <v>56</v>
      </c>
      <c r="M438" s="18">
        <v>380</v>
      </c>
      <c r="N438" s="18" t="s">
        <v>1093</v>
      </c>
    </row>
    <row r="439" ht="57" customHeight="1" spans="1:14">
      <c r="A439" s="18">
        <v>457</v>
      </c>
      <c r="B439" s="18" t="s">
        <v>1094</v>
      </c>
      <c r="C439" s="18" t="s">
        <v>553</v>
      </c>
      <c r="D439" s="18" t="s">
        <v>23</v>
      </c>
      <c r="E439" s="18" t="s">
        <v>1044</v>
      </c>
      <c r="F439" s="18" t="s">
        <v>555</v>
      </c>
      <c r="G439" s="18" t="s">
        <v>556</v>
      </c>
      <c r="H439" s="18" t="s">
        <v>649</v>
      </c>
      <c r="I439" s="101" t="s">
        <v>1095</v>
      </c>
      <c r="J439" s="78">
        <v>59.885</v>
      </c>
      <c r="K439" s="18" t="s">
        <v>651</v>
      </c>
      <c r="L439" s="18">
        <v>38</v>
      </c>
      <c r="M439" s="18">
        <v>150</v>
      </c>
      <c r="N439" s="18" t="s">
        <v>915</v>
      </c>
    </row>
    <row r="440" ht="57" customHeight="1" spans="1:14">
      <c r="A440" s="18">
        <v>458</v>
      </c>
      <c r="B440" s="18" t="s">
        <v>1096</v>
      </c>
      <c r="C440" s="18" t="s">
        <v>553</v>
      </c>
      <c r="D440" s="18" t="s">
        <v>23</v>
      </c>
      <c r="E440" s="18" t="s">
        <v>566</v>
      </c>
      <c r="F440" s="18" t="s">
        <v>555</v>
      </c>
      <c r="G440" s="18" t="s">
        <v>556</v>
      </c>
      <c r="H440" s="18" t="s">
        <v>649</v>
      </c>
      <c r="I440" s="101" t="s">
        <v>1097</v>
      </c>
      <c r="J440" s="78">
        <v>50</v>
      </c>
      <c r="K440" s="18" t="s">
        <v>651</v>
      </c>
      <c r="L440" s="18">
        <v>18</v>
      </c>
      <c r="M440" s="18">
        <v>142</v>
      </c>
      <c r="N440" s="18" t="s">
        <v>917</v>
      </c>
    </row>
    <row r="441" ht="57" customHeight="1" spans="1:14">
      <c r="A441" s="18">
        <v>459</v>
      </c>
      <c r="B441" s="18" t="s">
        <v>1098</v>
      </c>
      <c r="C441" s="18" t="s">
        <v>553</v>
      </c>
      <c r="D441" s="18" t="s">
        <v>1099</v>
      </c>
      <c r="E441" s="18" t="s">
        <v>24</v>
      </c>
      <c r="F441" s="18" t="s">
        <v>1100</v>
      </c>
      <c r="G441" s="18" t="s">
        <v>556</v>
      </c>
      <c r="H441" s="18" t="s">
        <v>649</v>
      </c>
      <c r="I441" s="18" t="s">
        <v>1101</v>
      </c>
      <c r="J441" s="98">
        <v>503</v>
      </c>
      <c r="K441" s="18" t="s">
        <v>651</v>
      </c>
      <c r="L441" s="18">
        <v>2590</v>
      </c>
      <c r="M441" s="18">
        <v>7450</v>
      </c>
      <c r="N441" s="18" t="s">
        <v>1102</v>
      </c>
    </row>
    <row r="442" s="1" customFormat="1" ht="39" customHeight="1" spans="1:14">
      <c r="A442" s="15" t="s">
        <v>1103</v>
      </c>
      <c r="B442" s="16"/>
      <c r="C442" s="16"/>
      <c r="D442" s="16"/>
      <c r="E442" s="16"/>
      <c r="F442" s="16"/>
      <c r="G442" s="17"/>
      <c r="H442" s="108"/>
      <c r="I442" s="14"/>
      <c r="J442" s="14">
        <v>1440</v>
      </c>
      <c r="K442" s="31"/>
      <c r="L442" s="14"/>
      <c r="M442" s="14"/>
      <c r="N442" s="14"/>
    </row>
    <row r="443" ht="39" customHeight="1" spans="1:14">
      <c r="A443" s="20">
        <v>461</v>
      </c>
      <c r="B443" s="20" t="s">
        <v>1104</v>
      </c>
      <c r="C443" s="20" t="s">
        <v>1105</v>
      </c>
      <c r="D443" s="20" t="s">
        <v>1106</v>
      </c>
      <c r="E443" s="20"/>
      <c r="F443" s="20">
        <v>2020.1</v>
      </c>
      <c r="G443" s="20">
        <v>2020.12</v>
      </c>
      <c r="H443" s="20" t="s">
        <v>276</v>
      </c>
      <c r="I443" s="20" t="s">
        <v>1107</v>
      </c>
      <c r="J443" s="20">
        <v>1100</v>
      </c>
      <c r="K443" s="20" t="s">
        <v>1108</v>
      </c>
      <c r="L443" s="20" t="s">
        <v>1109</v>
      </c>
      <c r="M443" s="20" t="s">
        <v>1109</v>
      </c>
      <c r="N443" s="20" t="s">
        <v>1110</v>
      </c>
    </row>
    <row r="444" ht="55.05" customHeight="1" spans="1:14">
      <c r="A444" s="20">
        <v>462</v>
      </c>
      <c r="B444" s="109" t="s">
        <v>1111</v>
      </c>
      <c r="C444" s="109" t="s">
        <v>1112</v>
      </c>
      <c r="D444" s="109" t="s">
        <v>23</v>
      </c>
      <c r="E444" s="109" t="s">
        <v>1113</v>
      </c>
      <c r="F444" s="110">
        <v>43891</v>
      </c>
      <c r="G444" s="110">
        <v>44136</v>
      </c>
      <c r="H444" s="109" t="s">
        <v>1114</v>
      </c>
      <c r="I444" s="109" t="s">
        <v>1115</v>
      </c>
      <c r="J444" s="114">
        <v>340</v>
      </c>
      <c r="K444" s="109" t="s">
        <v>1116</v>
      </c>
      <c r="L444" s="109">
        <v>8000</v>
      </c>
      <c r="M444" s="115">
        <v>8000</v>
      </c>
      <c r="N444" s="109" t="s">
        <v>1117</v>
      </c>
    </row>
    <row r="445" s="1" customFormat="1" ht="33" customHeight="1" spans="1:14">
      <c r="A445" s="15" t="s">
        <v>1118</v>
      </c>
      <c r="B445" s="16"/>
      <c r="C445" s="16"/>
      <c r="D445" s="16"/>
      <c r="E445" s="16"/>
      <c r="F445" s="16"/>
      <c r="G445" s="17"/>
      <c r="H445" s="108"/>
      <c r="I445" s="14"/>
      <c r="J445" s="14">
        <v>671.5</v>
      </c>
      <c r="K445" s="31"/>
      <c r="L445" s="14"/>
      <c r="M445" s="14"/>
      <c r="N445" s="14"/>
    </row>
    <row r="446" ht="72" customHeight="1" spans="1:14">
      <c r="A446" s="18">
        <v>484</v>
      </c>
      <c r="B446" s="18" t="s">
        <v>1119</v>
      </c>
      <c r="C446" s="18" t="s">
        <v>274</v>
      </c>
      <c r="D446" s="18" t="s">
        <v>23</v>
      </c>
      <c r="E446" s="18" t="s">
        <v>1120</v>
      </c>
      <c r="F446" s="111">
        <v>2020.4</v>
      </c>
      <c r="G446" s="111">
        <v>2020.12</v>
      </c>
      <c r="H446" s="18" t="s">
        <v>569</v>
      </c>
      <c r="I446" s="18" t="s">
        <v>1121</v>
      </c>
      <c r="J446" s="67">
        <v>10</v>
      </c>
      <c r="K446" s="20" t="s">
        <v>1122</v>
      </c>
      <c r="L446" s="18">
        <v>251</v>
      </c>
      <c r="M446" s="18">
        <v>1333</v>
      </c>
      <c r="N446" s="18" t="s">
        <v>1050</v>
      </c>
    </row>
    <row r="447" ht="40.5" spans="1:14">
      <c r="A447" s="18">
        <v>485</v>
      </c>
      <c r="B447" s="18" t="s">
        <v>1123</v>
      </c>
      <c r="C447" s="18" t="s">
        <v>274</v>
      </c>
      <c r="D447" s="18" t="s">
        <v>473</v>
      </c>
      <c r="E447" s="18" t="s">
        <v>614</v>
      </c>
      <c r="F447" s="18">
        <v>2020.4</v>
      </c>
      <c r="G447" s="18">
        <v>2020.5</v>
      </c>
      <c r="H447" s="18" t="s">
        <v>543</v>
      </c>
      <c r="I447" s="18" t="s">
        <v>1124</v>
      </c>
      <c r="J447" s="18">
        <v>10</v>
      </c>
      <c r="K447" s="20" t="s">
        <v>1122</v>
      </c>
      <c r="L447" s="18">
        <v>325</v>
      </c>
      <c r="M447" s="18">
        <v>830</v>
      </c>
      <c r="N447" s="116" t="s">
        <v>1125</v>
      </c>
    </row>
    <row r="448" ht="54" spans="1:14">
      <c r="A448" s="18">
        <v>486</v>
      </c>
      <c r="B448" s="18" t="s">
        <v>1126</v>
      </c>
      <c r="C448" s="18" t="s">
        <v>274</v>
      </c>
      <c r="D448" s="18" t="s">
        <v>23</v>
      </c>
      <c r="E448" s="18" t="s">
        <v>903</v>
      </c>
      <c r="F448" s="18">
        <v>2020.4</v>
      </c>
      <c r="G448" s="18">
        <v>2020.12</v>
      </c>
      <c r="H448" s="18" t="s">
        <v>543</v>
      </c>
      <c r="I448" s="18" t="s">
        <v>1127</v>
      </c>
      <c r="J448" s="18">
        <v>10</v>
      </c>
      <c r="K448" s="20" t="s">
        <v>1122</v>
      </c>
      <c r="L448" s="18">
        <v>310</v>
      </c>
      <c r="M448" s="18">
        <v>868</v>
      </c>
      <c r="N448" s="18" t="s">
        <v>1128</v>
      </c>
    </row>
    <row r="449" ht="43.05" customHeight="1" spans="1:14">
      <c r="A449" s="18">
        <v>487</v>
      </c>
      <c r="B449" s="18" t="s">
        <v>1129</v>
      </c>
      <c r="C449" s="18" t="s">
        <v>274</v>
      </c>
      <c r="D449" s="18" t="s">
        <v>473</v>
      </c>
      <c r="E449" s="18" t="s">
        <v>617</v>
      </c>
      <c r="F449" s="18">
        <v>2020.3</v>
      </c>
      <c r="G449" s="18">
        <v>2020.6</v>
      </c>
      <c r="H449" s="18" t="s">
        <v>543</v>
      </c>
      <c r="I449" s="18" t="s">
        <v>1130</v>
      </c>
      <c r="J449" s="18">
        <v>7.4</v>
      </c>
      <c r="K449" s="20" t="s">
        <v>1122</v>
      </c>
      <c r="L449" s="18">
        <v>287</v>
      </c>
      <c r="M449" s="18">
        <v>1800</v>
      </c>
      <c r="N449" s="116" t="s">
        <v>1131</v>
      </c>
    </row>
    <row r="450" ht="27" spans="1:14">
      <c r="A450" s="18">
        <v>488</v>
      </c>
      <c r="B450" s="117" t="s">
        <v>1132</v>
      </c>
      <c r="C450" s="18" t="s">
        <v>274</v>
      </c>
      <c r="D450" s="18" t="s">
        <v>473</v>
      </c>
      <c r="E450" s="18" t="s">
        <v>617</v>
      </c>
      <c r="F450" s="18">
        <v>2020.3</v>
      </c>
      <c r="G450" s="18">
        <v>2020.6</v>
      </c>
      <c r="H450" s="18" t="s">
        <v>543</v>
      </c>
      <c r="I450" s="116" t="s">
        <v>1133</v>
      </c>
      <c r="J450" s="116">
        <v>2.6</v>
      </c>
      <c r="K450" s="20" t="s">
        <v>1122</v>
      </c>
      <c r="L450" s="116">
        <v>40</v>
      </c>
      <c r="M450" s="116">
        <v>650</v>
      </c>
      <c r="N450" s="116" t="s">
        <v>1134</v>
      </c>
    </row>
    <row r="451" ht="27" spans="1:14">
      <c r="A451" s="18">
        <v>489</v>
      </c>
      <c r="B451" s="117" t="s">
        <v>1135</v>
      </c>
      <c r="C451" s="18" t="s">
        <v>274</v>
      </c>
      <c r="D451" s="18" t="s">
        <v>23</v>
      </c>
      <c r="E451" s="18" t="s">
        <v>620</v>
      </c>
      <c r="F451" s="18">
        <v>2020.5</v>
      </c>
      <c r="G451" s="18">
        <v>2020.6</v>
      </c>
      <c r="H451" s="18" t="s">
        <v>543</v>
      </c>
      <c r="I451" s="116" t="s">
        <v>1136</v>
      </c>
      <c r="J451" s="116">
        <v>10</v>
      </c>
      <c r="K451" s="20" t="s">
        <v>1122</v>
      </c>
      <c r="L451" s="116">
        <v>100</v>
      </c>
      <c r="M451" s="116">
        <v>800</v>
      </c>
      <c r="N451" s="116" t="s">
        <v>1137</v>
      </c>
    </row>
    <row r="452" ht="52.95" customHeight="1" spans="1:14">
      <c r="A452" s="18">
        <v>490</v>
      </c>
      <c r="B452" s="18" t="s">
        <v>1138</v>
      </c>
      <c r="C452" s="20" t="s">
        <v>1139</v>
      </c>
      <c r="D452" s="20" t="s">
        <v>23</v>
      </c>
      <c r="E452" s="20" t="s">
        <v>1140</v>
      </c>
      <c r="F452" s="20" t="s">
        <v>1141</v>
      </c>
      <c r="G452" s="20" t="s">
        <v>1142</v>
      </c>
      <c r="H452" s="67" t="s">
        <v>539</v>
      </c>
      <c r="I452" s="20" t="s">
        <v>1143</v>
      </c>
      <c r="J452" s="67">
        <v>10</v>
      </c>
      <c r="K452" s="20" t="s">
        <v>1122</v>
      </c>
      <c r="L452" s="67">
        <v>329</v>
      </c>
      <c r="M452" s="67"/>
      <c r="N452" s="67" t="s">
        <v>1144</v>
      </c>
    </row>
    <row r="453" ht="34.05" customHeight="1" spans="1:14">
      <c r="A453" s="18">
        <v>491</v>
      </c>
      <c r="B453" s="20" t="s">
        <v>1145</v>
      </c>
      <c r="C453" s="118" t="s">
        <v>20</v>
      </c>
      <c r="D453" s="119" t="s">
        <v>23</v>
      </c>
      <c r="E453" s="18" t="s">
        <v>717</v>
      </c>
      <c r="F453" s="119">
        <v>2020.4</v>
      </c>
      <c r="G453" s="119">
        <v>2020.12</v>
      </c>
      <c r="H453" s="67" t="s">
        <v>539</v>
      </c>
      <c r="I453" s="20" t="s">
        <v>1146</v>
      </c>
      <c r="J453" s="67">
        <v>10</v>
      </c>
      <c r="K453" s="20" t="s">
        <v>1122</v>
      </c>
      <c r="L453" s="67">
        <v>326</v>
      </c>
      <c r="M453" s="67">
        <v>1228</v>
      </c>
      <c r="N453" s="67" t="s">
        <v>1147</v>
      </c>
    </row>
    <row r="454" ht="45" customHeight="1" spans="1:14">
      <c r="A454" s="18">
        <v>492</v>
      </c>
      <c r="B454" s="20" t="s">
        <v>1148</v>
      </c>
      <c r="C454" s="20" t="s">
        <v>20</v>
      </c>
      <c r="D454" s="18" t="s">
        <v>97</v>
      </c>
      <c r="E454" s="20" t="s">
        <v>794</v>
      </c>
      <c r="F454" s="20" t="s">
        <v>1141</v>
      </c>
      <c r="G454" s="20" t="s">
        <v>1142</v>
      </c>
      <c r="H454" s="20" t="s">
        <v>539</v>
      </c>
      <c r="I454" s="20" t="s">
        <v>1149</v>
      </c>
      <c r="J454" s="20">
        <v>20</v>
      </c>
      <c r="K454" s="20" t="s">
        <v>1122</v>
      </c>
      <c r="L454" s="20">
        <v>81</v>
      </c>
      <c r="M454" s="20">
        <v>300</v>
      </c>
      <c r="N454" s="20" t="s">
        <v>1150</v>
      </c>
    </row>
    <row r="455" ht="49.05" customHeight="1" spans="1:14">
      <c r="A455" s="18">
        <v>493</v>
      </c>
      <c r="B455" s="18" t="s">
        <v>1151</v>
      </c>
      <c r="C455" s="18" t="s">
        <v>274</v>
      </c>
      <c r="D455" s="18" t="s">
        <v>554</v>
      </c>
      <c r="E455" s="18" t="s">
        <v>1152</v>
      </c>
      <c r="F455" s="111">
        <v>2020.4</v>
      </c>
      <c r="G455" s="111">
        <v>2020.12</v>
      </c>
      <c r="H455" s="18" t="s">
        <v>535</v>
      </c>
      <c r="I455" s="18" t="s">
        <v>1153</v>
      </c>
      <c r="J455" s="67">
        <v>10</v>
      </c>
      <c r="K455" s="20" t="s">
        <v>1122</v>
      </c>
      <c r="L455" s="18">
        <v>494</v>
      </c>
      <c r="M455" s="18"/>
      <c r="N455" s="20" t="s">
        <v>1154</v>
      </c>
    </row>
    <row r="456" ht="40.5" spans="1:14">
      <c r="A456" s="18">
        <v>494</v>
      </c>
      <c r="B456" s="20" t="s">
        <v>1155</v>
      </c>
      <c r="C456" s="109" t="s">
        <v>274</v>
      </c>
      <c r="D456" s="18" t="s">
        <v>97</v>
      </c>
      <c r="E456" s="20" t="s">
        <v>1006</v>
      </c>
      <c r="F456" s="20" t="s">
        <v>1141</v>
      </c>
      <c r="G456" s="20" t="s">
        <v>1142</v>
      </c>
      <c r="H456" s="20" t="s">
        <v>535</v>
      </c>
      <c r="I456" s="20" t="s">
        <v>1156</v>
      </c>
      <c r="J456" s="20">
        <v>20</v>
      </c>
      <c r="K456" s="20" t="s">
        <v>1122</v>
      </c>
      <c r="L456" s="20">
        <v>179</v>
      </c>
      <c r="M456" s="20">
        <v>1811</v>
      </c>
      <c r="N456" s="20" t="s">
        <v>1157</v>
      </c>
    </row>
    <row r="457" ht="40.5" spans="1:14">
      <c r="A457" s="18">
        <v>495</v>
      </c>
      <c r="B457" s="20" t="s">
        <v>1158</v>
      </c>
      <c r="C457" s="109" t="s">
        <v>274</v>
      </c>
      <c r="D457" s="18" t="s">
        <v>97</v>
      </c>
      <c r="E457" s="20" t="s">
        <v>1159</v>
      </c>
      <c r="F457" s="20" t="s">
        <v>1141</v>
      </c>
      <c r="G457" s="20" t="s">
        <v>1142</v>
      </c>
      <c r="H457" s="20" t="s">
        <v>535</v>
      </c>
      <c r="I457" s="20" t="s">
        <v>1160</v>
      </c>
      <c r="J457" s="20">
        <v>30</v>
      </c>
      <c r="K457" s="20" t="s">
        <v>1122</v>
      </c>
      <c r="L457" s="20">
        <v>200</v>
      </c>
      <c r="M457" s="20"/>
      <c r="N457" s="20" t="s">
        <v>1161</v>
      </c>
    </row>
    <row r="458" ht="40.5" spans="1:14">
      <c r="A458" s="18">
        <v>496</v>
      </c>
      <c r="B458" s="18" t="s">
        <v>1162</v>
      </c>
      <c r="C458" s="18" t="s">
        <v>1163</v>
      </c>
      <c r="D458" s="18" t="s">
        <v>473</v>
      </c>
      <c r="E458" s="18" t="s">
        <v>1164</v>
      </c>
      <c r="F458" s="18">
        <v>2020.4</v>
      </c>
      <c r="G458" s="67">
        <v>2020.12</v>
      </c>
      <c r="H458" s="18" t="s">
        <v>535</v>
      </c>
      <c r="I458" s="18" t="s">
        <v>1165</v>
      </c>
      <c r="J458" s="18">
        <v>4</v>
      </c>
      <c r="K458" s="20" t="s">
        <v>1122</v>
      </c>
      <c r="L458" s="18">
        <v>44</v>
      </c>
      <c r="M458" s="18">
        <v>157</v>
      </c>
      <c r="N458" s="31" t="s">
        <v>1166</v>
      </c>
    </row>
    <row r="459" ht="69.6" customHeight="1" spans="1:14">
      <c r="A459" s="18">
        <v>497</v>
      </c>
      <c r="B459" s="18" t="s">
        <v>1167</v>
      </c>
      <c r="C459" s="18" t="s">
        <v>1163</v>
      </c>
      <c r="D459" s="18" t="s">
        <v>473</v>
      </c>
      <c r="E459" s="18" t="s">
        <v>1164</v>
      </c>
      <c r="F459" s="18">
        <v>2020.4</v>
      </c>
      <c r="G459" s="67">
        <v>2020.12</v>
      </c>
      <c r="H459" s="18" t="s">
        <v>535</v>
      </c>
      <c r="I459" s="18" t="s">
        <v>1168</v>
      </c>
      <c r="J459" s="18">
        <v>3</v>
      </c>
      <c r="K459" s="20" t="s">
        <v>1122</v>
      </c>
      <c r="L459" s="18">
        <v>125</v>
      </c>
      <c r="M459" s="18">
        <v>329</v>
      </c>
      <c r="N459" s="18" t="s">
        <v>1169</v>
      </c>
    </row>
    <row r="460" ht="40.5" spans="1:14">
      <c r="A460" s="18">
        <v>498</v>
      </c>
      <c r="B460" s="18" t="s">
        <v>1170</v>
      </c>
      <c r="C460" s="18" t="s">
        <v>1163</v>
      </c>
      <c r="D460" s="18" t="s">
        <v>473</v>
      </c>
      <c r="E460" s="18" t="s">
        <v>1164</v>
      </c>
      <c r="F460" s="18">
        <v>2020.4</v>
      </c>
      <c r="G460" s="67">
        <v>2020.12</v>
      </c>
      <c r="H460" s="18" t="s">
        <v>535</v>
      </c>
      <c r="I460" s="18" t="s">
        <v>1171</v>
      </c>
      <c r="J460" s="18">
        <v>3</v>
      </c>
      <c r="K460" s="20" t="s">
        <v>1122</v>
      </c>
      <c r="L460" s="18">
        <v>23</v>
      </c>
      <c r="M460" s="18">
        <v>112</v>
      </c>
      <c r="N460" s="18" t="s">
        <v>1172</v>
      </c>
    </row>
    <row r="461" ht="40.5" spans="1:14">
      <c r="A461" s="18">
        <v>499</v>
      </c>
      <c r="B461" s="109" t="s">
        <v>1173</v>
      </c>
      <c r="C461" s="109" t="s">
        <v>274</v>
      </c>
      <c r="D461" s="109" t="s">
        <v>23</v>
      </c>
      <c r="E461" s="109" t="s">
        <v>1015</v>
      </c>
      <c r="F461" s="109">
        <v>2020.3</v>
      </c>
      <c r="G461" s="109">
        <v>2020.5</v>
      </c>
      <c r="H461" s="109" t="s">
        <v>1174</v>
      </c>
      <c r="I461" s="109" t="s">
        <v>1175</v>
      </c>
      <c r="J461" s="109">
        <v>8</v>
      </c>
      <c r="K461" s="20" t="s">
        <v>1122</v>
      </c>
      <c r="L461" s="109">
        <v>20</v>
      </c>
      <c r="M461" s="109">
        <v>247</v>
      </c>
      <c r="N461" s="109" t="s">
        <v>1176</v>
      </c>
    </row>
    <row r="462" ht="40.5" spans="1:14">
      <c r="A462" s="18">
        <v>500</v>
      </c>
      <c r="B462" s="109" t="s">
        <v>1177</v>
      </c>
      <c r="C462" s="109" t="s">
        <v>274</v>
      </c>
      <c r="D462" s="109" t="s">
        <v>23</v>
      </c>
      <c r="E462" s="109" t="s">
        <v>1015</v>
      </c>
      <c r="F462" s="109">
        <v>2020.3</v>
      </c>
      <c r="G462" s="109">
        <v>2020.5</v>
      </c>
      <c r="H462" s="109" t="s">
        <v>1174</v>
      </c>
      <c r="I462" s="109" t="s">
        <v>1178</v>
      </c>
      <c r="J462" s="109">
        <v>3.2</v>
      </c>
      <c r="K462" s="20" t="s">
        <v>1122</v>
      </c>
      <c r="L462" s="109">
        <v>19</v>
      </c>
      <c r="M462" s="109">
        <v>531</v>
      </c>
      <c r="N462" s="109" t="s">
        <v>1176</v>
      </c>
    </row>
    <row r="463" ht="40.5" spans="1:14">
      <c r="A463" s="18">
        <v>501</v>
      </c>
      <c r="B463" s="109" t="s">
        <v>1179</v>
      </c>
      <c r="C463" s="109" t="s">
        <v>274</v>
      </c>
      <c r="D463" s="109" t="s">
        <v>23</v>
      </c>
      <c r="E463" s="109" t="s">
        <v>1015</v>
      </c>
      <c r="F463" s="109">
        <v>2020.3</v>
      </c>
      <c r="G463" s="109">
        <v>2020.5</v>
      </c>
      <c r="H463" s="109" t="s">
        <v>1174</v>
      </c>
      <c r="I463" s="109" t="s">
        <v>1180</v>
      </c>
      <c r="J463" s="109">
        <v>2.4</v>
      </c>
      <c r="K463" s="20" t="s">
        <v>1122</v>
      </c>
      <c r="L463" s="109">
        <v>25</v>
      </c>
      <c r="M463" s="109">
        <v>503</v>
      </c>
      <c r="N463" s="109" t="s">
        <v>1176</v>
      </c>
    </row>
    <row r="464" ht="40.5" spans="1:14">
      <c r="A464" s="18">
        <v>502</v>
      </c>
      <c r="B464" s="109" t="s">
        <v>1181</v>
      </c>
      <c r="C464" s="109" t="s">
        <v>274</v>
      </c>
      <c r="D464" s="109" t="s">
        <v>23</v>
      </c>
      <c r="E464" s="109" t="s">
        <v>1015</v>
      </c>
      <c r="F464" s="109">
        <v>2020.3</v>
      </c>
      <c r="G464" s="109">
        <v>2020.5</v>
      </c>
      <c r="H464" s="109" t="s">
        <v>1174</v>
      </c>
      <c r="I464" s="109" t="s">
        <v>1182</v>
      </c>
      <c r="J464" s="109">
        <v>1.4</v>
      </c>
      <c r="K464" s="20" t="s">
        <v>1122</v>
      </c>
      <c r="L464" s="109">
        <v>27</v>
      </c>
      <c r="M464" s="109">
        <v>410</v>
      </c>
      <c r="N464" s="109" t="s">
        <v>1176</v>
      </c>
    </row>
    <row r="465" ht="40.5" spans="1:14">
      <c r="A465" s="18">
        <v>503</v>
      </c>
      <c r="B465" s="109" t="s">
        <v>1183</v>
      </c>
      <c r="C465" s="109" t="s">
        <v>274</v>
      </c>
      <c r="D465" s="109" t="s">
        <v>23</v>
      </c>
      <c r="E465" s="109" t="s">
        <v>1015</v>
      </c>
      <c r="F465" s="109">
        <v>2020.3</v>
      </c>
      <c r="G465" s="109">
        <v>2020.5</v>
      </c>
      <c r="H465" s="109" t="s">
        <v>1174</v>
      </c>
      <c r="I465" s="109" t="s">
        <v>1184</v>
      </c>
      <c r="J465" s="109">
        <v>5</v>
      </c>
      <c r="K465" s="20" t="s">
        <v>1122</v>
      </c>
      <c r="L465" s="109">
        <v>8</v>
      </c>
      <c r="M465" s="109">
        <v>83</v>
      </c>
      <c r="N465" s="109" t="s">
        <v>1176</v>
      </c>
    </row>
    <row r="466" ht="46.05" customHeight="1" spans="1:14">
      <c r="A466" s="18">
        <v>504</v>
      </c>
      <c r="B466" s="18" t="s">
        <v>1185</v>
      </c>
      <c r="C466" s="18" t="s">
        <v>274</v>
      </c>
      <c r="D466" s="18" t="s">
        <v>23</v>
      </c>
      <c r="E466" s="18" t="s">
        <v>1020</v>
      </c>
      <c r="F466" s="19">
        <v>2020.5</v>
      </c>
      <c r="G466" s="19">
        <v>2020.6</v>
      </c>
      <c r="H466" s="18" t="s">
        <v>1174</v>
      </c>
      <c r="I466" s="18" t="s">
        <v>1186</v>
      </c>
      <c r="J466" s="18">
        <v>1.2</v>
      </c>
      <c r="K466" s="20" t="s">
        <v>1122</v>
      </c>
      <c r="L466" s="18">
        <v>55</v>
      </c>
      <c r="M466" s="18">
        <v>164</v>
      </c>
      <c r="N466" s="18" t="s">
        <v>1187</v>
      </c>
    </row>
    <row r="467" ht="40.5" spans="1:14">
      <c r="A467" s="18">
        <v>505</v>
      </c>
      <c r="B467" s="18" t="s">
        <v>1188</v>
      </c>
      <c r="C467" s="18" t="s">
        <v>274</v>
      </c>
      <c r="D467" s="18" t="s">
        <v>1189</v>
      </c>
      <c r="E467" s="18" t="s">
        <v>1020</v>
      </c>
      <c r="F467" s="19">
        <v>2020.5</v>
      </c>
      <c r="G467" s="19">
        <v>2020.6</v>
      </c>
      <c r="H467" s="18" t="s">
        <v>1174</v>
      </c>
      <c r="I467" s="18" t="s">
        <v>1190</v>
      </c>
      <c r="J467" s="18">
        <v>1</v>
      </c>
      <c r="K467" s="20" t="s">
        <v>1122</v>
      </c>
      <c r="L467" s="18">
        <v>30</v>
      </c>
      <c r="M467" s="18">
        <v>200</v>
      </c>
      <c r="N467" s="18" t="s">
        <v>1191</v>
      </c>
    </row>
    <row r="468" ht="40.5" spans="1:14">
      <c r="A468" s="18">
        <v>506</v>
      </c>
      <c r="B468" s="18" t="s">
        <v>1192</v>
      </c>
      <c r="C468" s="18" t="s">
        <v>274</v>
      </c>
      <c r="D468" s="18" t="s">
        <v>23</v>
      </c>
      <c r="E468" s="18" t="s">
        <v>1020</v>
      </c>
      <c r="F468" s="19">
        <v>2020.5</v>
      </c>
      <c r="G468" s="19">
        <v>2020.6</v>
      </c>
      <c r="H468" s="18" t="s">
        <v>1174</v>
      </c>
      <c r="I468" s="18" t="s">
        <v>1193</v>
      </c>
      <c r="J468" s="18">
        <v>1</v>
      </c>
      <c r="K468" s="20" t="s">
        <v>1122</v>
      </c>
      <c r="L468" s="18">
        <v>54</v>
      </c>
      <c r="M468" s="18">
        <v>224</v>
      </c>
      <c r="N468" s="18" t="s">
        <v>1194</v>
      </c>
    </row>
    <row r="469" ht="40.5" spans="1:14">
      <c r="A469" s="18">
        <v>507</v>
      </c>
      <c r="B469" s="18" t="s">
        <v>1195</v>
      </c>
      <c r="C469" s="18" t="s">
        <v>274</v>
      </c>
      <c r="D469" s="18" t="s">
        <v>23</v>
      </c>
      <c r="E469" s="18" t="s">
        <v>1020</v>
      </c>
      <c r="F469" s="19">
        <v>2020.5</v>
      </c>
      <c r="G469" s="19">
        <v>2020.6</v>
      </c>
      <c r="H469" s="18" t="s">
        <v>1174</v>
      </c>
      <c r="I469" s="18" t="s">
        <v>1196</v>
      </c>
      <c r="J469" s="18">
        <v>3.8</v>
      </c>
      <c r="K469" s="20" t="s">
        <v>1122</v>
      </c>
      <c r="L469" s="18">
        <v>59</v>
      </c>
      <c r="M469" s="18">
        <v>209</v>
      </c>
      <c r="N469" s="18" t="s">
        <v>1194</v>
      </c>
    </row>
    <row r="470" s="3" customFormat="1" ht="40.5" spans="1:14">
      <c r="A470" s="18">
        <v>508</v>
      </c>
      <c r="B470" s="18" t="s">
        <v>1197</v>
      </c>
      <c r="C470" s="18" t="s">
        <v>274</v>
      </c>
      <c r="D470" s="18" t="s">
        <v>538</v>
      </c>
      <c r="E470" s="18" t="s">
        <v>1020</v>
      </c>
      <c r="F470" s="19">
        <v>2020.3</v>
      </c>
      <c r="G470" s="19">
        <v>2020.6</v>
      </c>
      <c r="H470" s="18" t="s">
        <v>1174</v>
      </c>
      <c r="I470" s="18" t="s">
        <v>1198</v>
      </c>
      <c r="J470" s="18">
        <v>1</v>
      </c>
      <c r="K470" s="20" t="s">
        <v>1122</v>
      </c>
      <c r="L470" s="18">
        <v>21</v>
      </c>
      <c r="M470" s="18">
        <v>317</v>
      </c>
      <c r="N470" s="18" t="s">
        <v>1199</v>
      </c>
    </row>
    <row r="471" s="3" customFormat="1" ht="40.5" spans="1:14">
      <c r="A471" s="18">
        <v>509</v>
      </c>
      <c r="B471" s="109" t="s">
        <v>1200</v>
      </c>
      <c r="C471" s="109" t="s">
        <v>274</v>
      </c>
      <c r="D471" s="109" t="s">
        <v>23</v>
      </c>
      <c r="E471" s="109" t="s">
        <v>1020</v>
      </c>
      <c r="F471" s="109">
        <v>2020.3</v>
      </c>
      <c r="G471" s="109">
        <v>2020.12</v>
      </c>
      <c r="H471" s="18" t="s">
        <v>1174</v>
      </c>
      <c r="I471" s="109" t="s">
        <v>1201</v>
      </c>
      <c r="J471" s="109">
        <v>2</v>
      </c>
      <c r="K471" s="20" t="s">
        <v>1122</v>
      </c>
      <c r="L471" s="109">
        <v>58</v>
      </c>
      <c r="M471" s="109">
        <v>187</v>
      </c>
      <c r="N471" s="109" t="s">
        <v>1202</v>
      </c>
    </row>
    <row r="472" s="3" customFormat="1" ht="40.5" spans="1:14">
      <c r="A472" s="18">
        <v>510</v>
      </c>
      <c r="B472" s="20" t="s">
        <v>1203</v>
      </c>
      <c r="C472" s="20" t="s">
        <v>1163</v>
      </c>
      <c r="D472" s="20" t="s">
        <v>1204</v>
      </c>
      <c r="E472" s="20" t="s">
        <v>1205</v>
      </c>
      <c r="F472" s="20">
        <v>2020.04</v>
      </c>
      <c r="G472" s="20">
        <v>2020.08</v>
      </c>
      <c r="H472" s="20" t="s">
        <v>1206</v>
      </c>
      <c r="I472" s="20" t="s">
        <v>1207</v>
      </c>
      <c r="J472" s="20">
        <v>10</v>
      </c>
      <c r="K472" s="20" t="s">
        <v>1122</v>
      </c>
      <c r="L472" s="20">
        <v>220</v>
      </c>
      <c r="M472" s="20">
        <v>205</v>
      </c>
      <c r="N472" s="20" t="s">
        <v>1208</v>
      </c>
    </row>
    <row r="473" s="3" customFormat="1" ht="27" spans="1:14">
      <c r="A473" s="18">
        <v>511</v>
      </c>
      <c r="B473" s="20" t="s">
        <v>1209</v>
      </c>
      <c r="C473" s="20" t="s">
        <v>1163</v>
      </c>
      <c r="D473" s="20" t="s">
        <v>1204</v>
      </c>
      <c r="E473" s="20" t="s">
        <v>1210</v>
      </c>
      <c r="F473" s="20">
        <v>2020.04</v>
      </c>
      <c r="G473" s="20">
        <v>2020.08</v>
      </c>
      <c r="H473" s="20" t="s">
        <v>1206</v>
      </c>
      <c r="I473" s="20" t="s">
        <v>1211</v>
      </c>
      <c r="J473" s="20">
        <v>10</v>
      </c>
      <c r="K473" s="20" t="s">
        <v>1122</v>
      </c>
      <c r="L473" s="20">
        <v>159</v>
      </c>
      <c r="M473" s="20">
        <v>627</v>
      </c>
      <c r="N473" s="20" t="s">
        <v>1212</v>
      </c>
    </row>
    <row r="474" s="3" customFormat="1" ht="40.5" spans="1:14">
      <c r="A474" s="18">
        <v>512</v>
      </c>
      <c r="B474" s="20" t="s">
        <v>1213</v>
      </c>
      <c r="C474" s="20" t="s">
        <v>1163</v>
      </c>
      <c r="D474" s="20" t="s">
        <v>1204</v>
      </c>
      <c r="E474" s="20" t="s">
        <v>1214</v>
      </c>
      <c r="F474" s="20">
        <v>2020.04</v>
      </c>
      <c r="G474" s="20">
        <v>2020.05</v>
      </c>
      <c r="H474" s="20" t="s">
        <v>1206</v>
      </c>
      <c r="I474" s="20" t="s">
        <v>1215</v>
      </c>
      <c r="J474" s="20">
        <v>10</v>
      </c>
      <c r="K474" s="20" t="s">
        <v>1122</v>
      </c>
      <c r="L474" s="20">
        <v>287</v>
      </c>
      <c r="M474" s="20">
        <v>1010</v>
      </c>
      <c r="N474" s="20" t="s">
        <v>1216</v>
      </c>
    </row>
    <row r="475" s="3" customFormat="1" ht="33" customHeight="1" spans="1:14">
      <c r="A475" s="18">
        <v>513</v>
      </c>
      <c r="B475" s="119" t="s">
        <v>1217</v>
      </c>
      <c r="C475" s="118" t="s">
        <v>20</v>
      </c>
      <c r="D475" s="119" t="s">
        <v>23</v>
      </c>
      <c r="E475" s="119" t="s">
        <v>648</v>
      </c>
      <c r="F475" s="119">
        <v>2020.4</v>
      </c>
      <c r="G475" s="119">
        <v>2020.12</v>
      </c>
      <c r="H475" s="119" t="s">
        <v>547</v>
      </c>
      <c r="I475" s="118" t="s">
        <v>1218</v>
      </c>
      <c r="J475" s="119">
        <v>30</v>
      </c>
      <c r="K475" s="20" t="s">
        <v>1122</v>
      </c>
      <c r="L475" s="119">
        <v>428</v>
      </c>
      <c r="M475" s="119">
        <v>2295</v>
      </c>
      <c r="N475" s="118" t="s">
        <v>1219</v>
      </c>
    </row>
    <row r="476" ht="40.5" spans="1:14">
      <c r="A476" s="18">
        <v>514</v>
      </c>
      <c r="B476" s="20" t="s">
        <v>1220</v>
      </c>
      <c r="C476" s="118" t="s">
        <v>20</v>
      </c>
      <c r="D476" s="20" t="s">
        <v>97</v>
      </c>
      <c r="E476" s="20" t="s">
        <v>769</v>
      </c>
      <c r="F476" s="20">
        <v>2020.6</v>
      </c>
      <c r="G476" s="20">
        <v>2020.12</v>
      </c>
      <c r="H476" s="20" t="s">
        <v>547</v>
      </c>
      <c r="I476" s="20" t="s">
        <v>1221</v>
      </c>
      <c r="J476" s="20">
        <v>15</v>
      </c>
      <c r="K476" s="20" t="s">
        <v>1122</v>
      </c>
      <c r="L476" s="20">
        <v>125</v>
      </c>
      <c r="M476" s="20">
        <v>816</v>
      </c>
      <c r="N476" s="20" t="s">
        <v>1222</v>
      </c>
    </row>
    <row r="477" ht="40.5" spans="1:14">
      <c r="A477" s="18">
        <v>515</v>
      </c>
      <c r="B477" s="18" t="s">
        <v>1223</v>
      </c>
      <c r="C477" s="18" t="s">
        <v>274</v>
      </c>
      <c r="D477" s="18" t="s">
        <v>1224</v>
      </c>
      <c r="E477" s="18" t="s">
        <v>604</v>
      </c>
      <c r="F477" s="18">
        <v>2020.4</v>
      </c>
      <c r="G477" s="18">
        <v>2020.6</v>
      </c>
      <c r="H477" s="18" t="s">
        <v>1225</v>
      </c>
      <c r="I477" s="18" t="s">
        <v>1226</v>
      </c>
      <c r="J477" s="18">
        <v>20</v>
      </c>
      <c r="K477" s="20" t="s">
        <v>1122</v>
      </c>
      <c r="L477" s="18">
        <v>747</v>
      </c>
      <c r="M477" s="18">
        <v>2347</v>
      </c>
      <c r="N477" s="18" t="s">
        <v>1227</v>
      </c>
    </row>
    <row r="478" ht="54" spans="1:14">
      <c r="A478" s="18">
        <v>516</v>
      </c>
      <c r="B478" s="18" t="s">
        <v>1228</v>
      </c>
      <c r="C478" s="18" t="s">
        <v>274</v>
      </c>
      <c r="D478" s="18" t="s">
        <v>23</v>
      </c>
      <c r="E478" s="18" t="s">
        <v>912</v>
      </c>
      <c r="F478" s="18" t="s">
        <v>1229</v>
      </c>
      <c r="G478" s="18">
        <v>2020.12</v>
      </c>
      <c r="H478" s="18" t="s">
        <v>1225</v>
      </c>
      <c r="I478" s="18" t="s">
        <v>1230</v>
      </c>
      <c r="J478" s="18">
        <v>20</v>
      </c>
      <c r="K478" s="20" t="s">
        <v>1122</v>
      </c>
      <c r="L478" s="18">
        <v>60</v>
      </c>
      <c r="M478" s="18">
        <v>300</v>
      </c>
      <c r="N478" s="18" t="s">
        <v>652</v>
      </c>
    </row>
    <row r="479" ht="67.5" spans="1:14">
      <c r="A479" s="18">
        <v>517</v>
      </c>
      <c r="B479" s="18" t="s">
        <v>1231</v>
      </c>
      <c r="C479" s="18" t="s">
        <v>20</v>
      </c>
      <c r="D479" s="18" t="s">
        <v>97</v>
      </c>
      <c r="E479" s="18" t="s">
        <v>1232</v>
      </c>
      <c r="F479" s="18">
        <v>2020.04</v>
      </c>
      <c r="G479" s="18">
        <v>2020.06</v>
      </c>
      <c r="H479" s="18" t="s">
        <v>1225</v>
      </c>
      <c r="I479" s="18" t="s">
        <v>1233</v>
      </c>
      <c r="J479" s="18">
        <v>10</v>
      </c>
      <c r="K479" s="20" t="s">
        <v>1122</v>
      </c>
      <c r="L479" s="18">
        <v>500</v>
      </c>
      <c r="M479" s="18">
        <v>1500</v>
      </c>
      <c r="N479" s="18" t="s">
        <v>1234</v>
      </c>
    </row>
    <row r="480" ht="40.5" spans="1:14">
      <c r="A480" s="18">
        <v>518</v>
      </c>
      <c r="B480" s="18" t="s">
        <v>1235</v>
      </c>
      <c r="C480" s="18" t="s">
        <v>1163</v>
      </c>
      <c r="D480" s="18" t="s">
        <v>97</v>
      </c>
      <c r="E480" s="18" t="s">
        <v>1236</v>
      </c>
      <c r="F480" s="18">
        <v>2020.5</v>
      </c>
      <c r="G480" s="18">
        <v>2020.12</v>
      </c>
      <c r="H480" s="18" t="s">
        <v>1225</v>
      </c>
      <c r="I480" s="18" t="s">
        <v>1237</v>
      </c>
      <c r="J480" s="18">
        <v>10</v>
      </c>
      <c r="K480" s="20" t="s">
        <v>1122</v>
      </c>
      <c r="L480" s="18">
        <v>100</v>
      </c>
      <c r="M480" s="18">
        <v>600</v>
      </c>
      <c r="N480" s="109" t="s">
        <v>1227</v>
      </c>
    </row>
    <row r="481" ht="37.05" customHeight="1" spans="1:14">
      <c r="A481" s="18">
        <v>519</v>
      </c>
      <c r="B481" s="18" t="s">
        <v>1238</v>
      </c>
      <c r="C481" s="18" t="s">
        <v>20</v>
      </c>
      <c r="D481" s="18" t="s">
        <v>97</v>
      </c>
      <c r="E481" s="109" t="s">
        <v>1239</v>
      </c>
      <c r="F481" s="18">
        <v>2020.04</v>
      </c>
      <c r="G481" s="18">
        <v>2020.06</v>
      </c>
      <c r="H481" s="18" t="s">
        <v>1225</v>
      </c>
      <c r="I481" s="18" t="s">
        <v>1237</v>
      </c>
      <c r="J481" s="18">
        <v>10</v>
      </c>
      <c r="K481" s="20" t="s">
        <v>1122</v>
      </c>
      <c r="L481" s="18">
        <v>95</v>
      </c>
      <c r="M481" s="18">
        <v>300</v>
      </c>
      <c r="N481" s="109" t="s">
        <v>1240</v>
      </c>
    </row>
    <row r="482" ht="27" spans="1:14">
      <c r="A482" s="18">
        <v>520</v>
      </c>
      <c r="B482" s="20" t="s">
        <v>1241</v>
      </c>
      <c r="C482" s="20" t="s">
        <v>20</v>
      </c>
      <c r="D482" s="20" t="s">
        <v>23</v>
      </c>
      <c r="E482" s="20" t="s">
        <v>1242</v>
      </c>
      <c r="F482" s="20" t="s">
        <v>1141</v>
      </c>
      <c r="G482" s="20" t="s">
        <v>1142</v>
      </c>
      <c r="H482" s="20" t="s">
        <v>1225</v>
      </c>
      <c r="I482" s="20" t="s">
        <v>1243</v>
      </c>
      <c r="J482" s="20">
        <v>15</v>
      </c>
      <c r="K482" s="20" t="s">
        <v>1122</v>
      </c>
      <c r="L482" s="20">
        <v>305</v>
      </c>
      <c r="M482" s="20">
        <v>179</v>
      </c>
      <c r="N482" s="20" t="s">
        <v>1244</v>
      </c>
    </row>
    <row r="483" ht="81" spans="1:14">
      <c r="A483" s="18">
        <v>521</v>
      </c>
      <c r="B483" s="20" t="s">
        <v>1245</v>
      </c>
      <c r="C483" s="20" t="s">
        <v>1246</v>
      </c>
      <c r="D483" s="20" t="s">
        <v>23</v>
      </c>
      <c r="E483" s="20" t="s">
        <v>1247</v>
      </c>
      <c r="F483" s="20" t="s">
        <v>109</v>
      </c>
      <c r="G483" s="20" t="s">
        <v>1248</v>
      </c>
      <c r="H483" s="18" t="s">
        <v>527</v>
      </c>
      <c r="I483" s="20" t="s">
        <v>1249</v>
      </c>
      <c r="J483" s="20">
        <v>20</v>
      </c>
      <c r="K483" s="20" t="s">
        <v>1122</v>
      </c>
      <c r="L483" s="20">
        <v>641</v>
      </c>
      <c r="M483" s="20">
        <v>2480</v>
      </c>
      <c r="N483" s="20" t="s">
        <v>1250</v>
      </c>
    </row>
    <row r="484" ht="67.5" spans="1:14">
      <c r="A484" s="18">
        <v>522</v>
      </c>
      <c r="B484" s="20" t="s">
        <v>1251</v>
      </c>
      <c r="C484" s="20" t="s">
        <v>1252</v>
      </c>
      <c r="D484" s="20" t="s">
        <v>97</v>
      </c>
      <c r="E484" s="20" t="s">
        <v>1253</v>
      </c>
      <c r="F484" s="20">
        <v>2020.5</v>
      </c>
      <c r="G484" s="20">
        <v>2020.8</v>
      </c>
      <c r="H484" s="18" t="s">
        <v>527</v>
      </c>
      <c r="I484" s="20" t="s">
        <v>1254</v>
      </c>
      <c r="J484" s="20">
        <v>10</v>
      </c>
      <c r="K484" s="20" t="s">
        <v>1122</v>
      </c>
      <c r="L484" s="20">
        <v>641</v>
      </c>
      <c r="M484" s="20">
        <v>2480</v>
      </c>
      <c r="N484" s="20" t="s">
        <v>1255</v>
      </c>
    </row>
    <row r="485" ht="54" spans="1:14">
      <c r="A485" s="18">
        <v>523</v>
      </c>
      <c r="B485" s="20" t="s">
        <v>1256</v>
      </c>
      <c r="C485" s="20" t="s">
        <v>1252</v>
      </c>
      <c r="D485" s="20" t="s">
        <v>97</v>
      </c>
      <c r="E485" s="20" t="s">
        <v>1257</v>
      </c>
      <c r="F485" s="20" t="s">
        <v>1258</v>
      </c>
      <c r="G485" s="20" t="s">
        <v>1259</v>
      </c>
      <c r="H485" s="18" t="s">
        <v>527</v>
      </c>
      <c r="I485" s="20" t="s">
        <v>1260</v>
      </c>
      <c r="J485" s="20">
        <v>10</v>
      </c>
      <c r="K485" s="20" t="s">
        <v>1122</v>
      </c>
      <c r="L485" s="20">
        <v>275</v>
      </c>
      <c r="M485" s="20">
        <v>813</v>
      </c>
      <c r="N485" s="20" t="s">
        <v>1261</v>
      </c>
    </row>
    <row r="486" ht="40.5" spans="1:14">
      <c r="A486" s="18">
        <v>524</v>
      </c>
      <c r="B486" s="18" t="s">
        <v>1262</v>
      </c>
      <c r="C486" s="18" t="s">
        <v>274</v>
      </c>
      <c r="D486" s="18" t="s">
        <v>1099</v>
      </c>
      <c r="E486" s="18" t="s">
        <v>1263</v>
      </c>
      <c r="F486" s="19" t="s">
        <v>124</v>
      </c>
      <c r="G486" s="19">
        <v>2020.6</v>
      </c>
      <c r="H486" s="18" t="s">
        <v>1264</v>
      </c>
      <c r="I486" s="124" t="s">
        <v>1265</v>
      </c>
      <c r="J486" s="18">
        <v>10</v>
      </c>
      <c r="K486" s="20" t="s">
        <v>1122</v>
      </c>
      <c r="L486" s="18">
        <v>23</v>
      </c>
      <c r="M486" s="95">
        <v>523</v>
      </c>
      <c r="N486" s="18" t="s">
        <v>1266</v>
      </c>
    </row>
    <row r="487" ht="51" customHeight="1" spans="1:14">
      <c r="A487" s="18">
        <v>525</v>
      </c>
      <c r="B487" s="18" t="s">
        <v>1267</v>
      </c>
      <c r="C487" s="67" t="s">
        <v>274</v>
      </c>
      <c r="D487" s="67" t="s">
        <v>1204</v>
      </c>
      <c r="E487" s="18" t="s">
        <v>1268</v>
      </c>
      <c r="F487" s="120">
        <v>44075</v>
      </c>
      <c r="G487" s="120">
        <v>44105</v>
      </c>
      <c r="H487" s="67" t="s">
        <v>1269</v>
      </c>
      <c r="I487" s="67" t="s">
        <v>1270</v>
      </c>
      <c r="J487" s="67">
        <v>10</v>
      </c>
      <c r="K487" s="20" t="s">
        <v>1122</v>
      </c>
      <c r="L487" s="67">
        <v>296</v>
      </c>
      <c r="M487" s="67">
        <v>780</v>
      </c>
      <c r="N487" s="20" t="s">
        <v>1271</v>
      </c>
    </row>
    <row r="488" ht="45" customHeight="1" spans="1:14">
      <c r="A488" s="18">
        <v>526</v>
      </c>
      <c r="B488" s="18" t="s">
        <v>1272</v>
      </c>
      <c r="C488" s="109" t="s">
        <v>274</v>
      </c>
      <c r="D488" s="18" t="s">
        <v>1273</v>
      </c>
      <c r="E488" s="18" t="s">
        <v>1274</v>
      </c>
      <c r="F488" s="120">
        <v>43952</v>
      </c>
      <c r="G488" s="120">
        <v>44105</v>
      </c>
      <c r="H488" s="18" t="s">
        <v>1264</v>
      </c>
      <c r="I488" s="18" t="s">
        <v>1275</v>
      </c>
      <c r="J488" s="18">
        <v>10</v>
      </c>
      <c r="K488" s="20" t="s">
        <v>1122</v>
      </c>
      <c r="L488" s="18">
        <v>766</v>
      </c>
      <c r="M488" s="18">
        <v>1559</v>
      </c>
      <c r="N488" s="18" t="s">
        <v>1271</v>
      </c>
    </row>
    <row r="489" s="2" customFormat="1" ht="67.05" customHeight="1" spans="1:14">
      <c r="A489" s="18">
        <v>527</v>
      </c>
      <c r="B489" s="121" t="s">
        <v>1276</v>
      </c>
      <c r="C489" s="109" t="s">
        <v>274</v>
      </c>
      <c r="D489" s="122" t="s">
        <v>1277</v>
      </c>
      <c r="E489" s="122" t="s">
        <v>1278</v>
      </c>
      <c r="F489" s="123">
        <v>43922</v>
      </c>
      <c r="G489" s="123">
        <v>43983</v>
      </c>
      <c r="H489" s="122" t="s">
        <v>1279</v>
      </c>
      <c r="I489" s="122" t="s">
        <v>1280</v>
      </c>
      <c r="J489" s="122">
        <v>4</v>
      </c>
      <c r="K489" s="122" t="s">
        <v>1281</v>
      </c>
      <c r="L489" s="122">
        <v>52</v>
      </c>
      <c r="M489" s="122">
        <v>166</v>
      </c>
      <c r="N489" s="122" t="s">
        <v>1282</v>
      </c>
    </row>
    <row r="490" s="2" customFormat="1" ht="75" customHeight="1" spans="1:14">
      <c r="A490" s="18">
        <v>528</v>
      </c>
      <c r="B490" s="121" t="s">
        <v>1283</v>
      </c>
      <c r="C490" s="109" t="s">
        <v>274</v>
      </c>
      <c r="D490" s="122" t="s">
        <v>1284</v>
      </c>
      <c r="E490" s="122" t="s">
        <v>1285</v>
      </c>
      <c r="F490" s="123">
        <v>43922</v>
      </c>
      <c r="G490" s="123">
        <v>43983</v>
      </c>
      <c r="H490" s="122" t="s">
        <v>1279</v>
      </c>
      <c r="I490" s="122" t="s">
        <v>1286</v>
      </c>
      <c r="J490" s="122">
        <v>4</v>
      </c>
      <c r="K490" s="122" t="s">
        <v>1281</v>
      </c>
      <c r="L490" s="122">
        <v>50</v>
      </c>
      <c r="M490" s="122">
        <v>300</v>
      </c>
      <c r="N490" s="122" t="s">
        <v>1287</v>
      </c>
    </row>
    <row r="491" s="2" customFormat="1" ht="54" spans="1:14">
      <c r="A491" s="18">
        <v>529</v>
      </c>
      <c r="B491" s="121" t="s">
        <v>1288</v>
      </c>
      <c r="C491" s="109" t="s">
        <v>274</v>
      </c>
      <c r="D491" s="122" t="s">
        <v>473</v>
      </c>
      <c r="E491" s="122" t="s">
        <v>1289</v>
      </c>
      <c r="F491" s="123">
        <v>43922</v>
      </c>
      <c r="G491" s="123">
        <v>43617</v>
      </c>
      <c r="H491" s="122" t="s">
        <v>1279</v>
      </c>
      <c r="I491" s="122" t="s">
        <v>1290</v>
      </c>
      <c r="J491" s="122">
        <v>4</v>
      </c>
      <c r="K491" s="122" t="s">
        <v>1291</v>
      </c>
      <c r="L491" s="122">
        <v>182</v>
      </c>
      <c r="M491" s="122">
        <v>1625</v>
      </c>
      <c r="N491" s="122" t="s">
        <v>1292</v>
      </c>
    </row>
    <row r="492" ht="40.5" spans="1:14">
      <c r="A492" s="18">
        <v>530</v>
      </c>
      <c r="B492" s="20" t="s">
        <v>1293</v>
      </c>
      <c r="C492" s="20" t="s">
        <v>20</v>
      </c>
      <c r="D492" s="20" t="s">
        <v>23</v>
      </c>
      <c r="E492" s="20" t="s">
        <v>1092</v>
      </c>
      <c r="F492" s="20">
        <v>2020.4</v>
      </c>
      <c r="G492" s="20">
        <v>2020.12</v>
      </c>
      <c r="H492" s="20" t="s">
        <v>569</v>
      </c>
      <c r="I492" s="20" t="s">
        <v>1294</v>
      </c>
      <c r="J492" s="20">
        <v>10</v>
      </c>
      <c r="K492" s="20" t="s">
        <v>1116</v>
      </c>
      <c r="L492" s="18">
        <v>48</v>
      </c>
      <c r="M492" s="18">
        <v>147</v>
      </c>
      <c r="N492" s="18" t="s">
        <v>1295</v>
      </c>
    </row>
    <row r="493" ht="27" spans="1:14">
      <c r="A493" s="18">
        <v>531</v>
      </c>
      <c r="B493" s="20" t="s">
        <v>1296</v>
      </c>
      <c r="C493" s="20" t="s">
        <v>20</v>
      </c>
      <c r="D493" s="20" t="s">
        <v>23</v>
      </c>
      <c r="E493" s="20" t="s">
        <v>1092</v>
      </c>
      <c r="F493" s="20">
        <v>2020.4</v>
      </c>
      <c r="G493" s="20">
        <v>2020.12</v>
      </c>
      <c r="H493" s="20" t="s">
        <v>569</v>
      </c>
      <c r="I493" s="20" t="s">
        <v>1297</v>
      </c>
      <c r="J493" s="20">
        <v>20</v>
      </c>
      <c r="K493" s="20" t="s">
        <v>1116</v>
      </c>
      <c r="L493" s="18">
        <v>251</v>
      </c>
      <c r="M493" s="18">
        <v>1333</v>
      </c>
      <c r="N493" s="18" t="s">
        <v>1298</v>
      </c>
    </row>
    <row r="494" ht="27" spans="1:14">
      <c r="A494" s="18">
        <v>532</v>
      </c>
      <c r="B494" s="20" t="s">
        <v>1299</v>
      </c>
      <c r="C494" s="20" t="s">
        <v>38</v>
      </c>
      <c r="D494" s="20" t="s">
        <v>23</v>
      </c>
      <c r="E494" s="20" t="s">
        <v>1092</v>
      </c>
      <c r="F494" s="20">
        <v>2020.4</v>
      </c>
      <c r="G494" s="20">
        <v>2020.12</v>
      </c>
      <c r="H494" s="20" t="s">
        <v>569</v>
      </c>
      <c r="I494" s="20" t="s">
        <v>1300</v>
      </c>
      <c r="J494" s="20">
        <v>2</v>
      </c>
      <c r="K494" s="20" t="s">
        <v>1116</v>
      </c>
      <c r="L494" s="18">
        <v>251</v>
      </c>
      <c r="M494" s="18">
        <v>1333</v>
      </c>
      <c r="N494" s="18" t="s">
        <v>1301</v>
      </c>
    </row>
    <row r="495" ht="40" customHeight="1" spans="1:14">
      <c r="A495" s="18">
        <v>533</v>
      </c>
      <c r="B495" s="20" t="s">
        <v>1302</v>
      </c>
      <c r="C495" s="20" t="s">
        <v>274</v>
      </c>
      <c r="D495" s="20" t="s">
        <v>23</v>
      </c>
      <c r="E495" s="20" t="s">
        <v>519</v>
      </c>
      <c r="F495" s="20" t="s">
        <v>1141</v>
      </c>
      <c r="G495" s="20" t="s">
        <v>1142</v>
      </c>
      <c r="H495" s="20" t="s">
        <v>1303</v>
      </c>
      <c r="I495" s="20" t="s">
        <v>1304</v>
      </c>
      <c r="J495" s="20">
        <v>30</v>
      </c>
      <c r="K495" s="20" t="s">
        <v>1116</v>
      </c>
      <c r="L495" s="34">
        <v>160</v>
      </c>
      <c r="M495" s="34">
        <v>380</v>
      </c>
      <c r="N495" s="34" t="s">
        <v>1305</v>
      </c>
    </row>
    <row r="496" ht="36" customHeight="1" spans="1:14">
      <c r="A496" s="18">
        <v>534</v>
      </c>
      <c r="B496" s="18" t="s">
        <v>1306</v>
      </c>
      <c r="C496" s="67" t="s">
        <v>1103</v>
      </c>
      <c r="D496" s="20" t="s">
        <v>23</v>
      </c>
      <c r="E496" s="20" t="s">
        <v>1307</v>
      </c>
      <c r="F496" s="20" t="s">
        <v>1141</v>
      </c>
      <c r="G496" s="20" t="s">
        <v>1142</v>
      </c>
      <c r="H496" s="67" t="s">
        <v>539</v>
      </c>
      <c r="I496" s="20" t="s">
        <v>1308</v>
      </c>
      <c r="J496" s="20">
        <v>5</v>
      </c>
      <c r="K496" s="20" t="s">
        <v>1116</v>
      </c>
      <c r="L496" s="34">
        <v>329</v>
      </c>
      <c r="M496" s="34"/>
      <c r="N496" s="34" t="s">
        <v>1144</v>
      </c>
    </row>
    <row r="497" ht="27" spans="1:14">
      <c r="A497" s="18">
        <v>535</v>
      </c>
      <c r="B497" s="18" t="s">
        <v>1309</v>
      </c>
      <c r="C497" s="20" t="s">
        <v>1139</v>
      </c>
      <c r="D497" s="20" t="s">
        <v>23</v>
      </c>
      <c r="E497" s="20" t="s">
        <v>1310</v>
      </c>
      <c r="F497" s="20" t="s">
        <v>1141</v>
      </c>
      <c r="G497" s="20" t="s">
        <v>1142</v>
      </c>
      <c r="H497" s="67" t="s">
        <v>539</v>
      </c>
      <c r="I497" s="20" t="s">
        <v>1311</v>
      </c>
      <c r="J497" s="20">
        <v>50</v>
      </c>
      <c r="K497" s="20" t="s">
        <v>1116</v>
      </c>
      <c r="L497" s="34">
        <v>329</v>
      </c>
      <c r="M497" s="34"/>
      <c r="N497" s="34" t="s">
        <v>1144</v>
      </c>
    </row>
    <row r="498" ht="40.5" spans="1:14">
      <c r="A498" s="18">
        <v>536</v>
      </c>
      <c r="B498" s="18" t="s">
        <v>1312</v>
      </c>
      <c r="C498" s="18" t="s">
        <v>1163</v>
      </c>
      <c r="D498" s="18" t="s">
        <v>473</v>
      </c>
      <c r="E498" s="18" t="s">
        <v>1164</v>
      </c>
      <c r="F498" s="18">
        <v>2020.4</v>
      </c>
      <c r="G498" s="67">
        <v>2020.1</v>
      </c>
      <c r="H498" s="18" t="s">
        <v>535</v>
      </c>
      <c r="I498" s="20" t="s">
        <v>1313</v>
      </c>
      <c r="J498" s="20">
        <v>12</v>
      </c>
      <c r="K498" s="20" t="s">
        <v>1116</v>
      </c>
      <c r="L498" s="34">
        <v>214</v>
      </c>
      <c r="M498" s="34">
        <v>837</v>
      </c>
      <c r="N498" s="34" t="s">
        <v>1314</v>
      </c>
    </row>
    <row r="499" ht="40.5" spans="1:14">
      <c r="A499" s="18">
        <v>537</v>
      </c>
      <c r="B499" s="18" t="s">
        <v>1315</v>
      </c>
      <c r="C499" s="18" t="s">
        <v>1163</v>
      </c>
      <c r="D499" s="18" t="s">
        <v>473</v>
      </c>
      <c r="E499" s="18" t="s">
        <v>1164</v>
      </c>
      <c r="F499" s="18">
        <v>2020.4</v>
      </c>
      <c r="G499" s="67">
        <v>2020.1</v>
      </c>
      <c r="H499" s="18" t="s">
        <v>535</v>
      </c>
      <c r="I499" s="20" t="s">
        <v>1316</v>
      </c>
      <c r="J499" s="20">
        <v>3.5</v>
      </c>
      <c r="K499" s="20" t="s">
        <v>1116</v>
      </c>
      <c r="L499" s="34">
        <v>45</v>
      </c>
      <c r="M499" s="34">
        <v>149</v>
      </c>
      <c r="N499" s="34" t="s">
        <v>1317</v>
      </c>
    </row>
    <row r="500" ht="40.5" spans="1:14">
      <c r="A500" s="18">
        <v>538</v>
      </c>
      <c r="B500" s="18" t="s">
        <v>1318</v>
      </c>
      <c r="C500" s="18" t="s">
        <v>1163</v>
      </c>
      <c r="D500" s="20" t="s">
        <v>473</v>
      </c>
      <c r="E500" s="18" t="s">
        <v>1164</v>
      </c>
      <c r="F500" s="18">
        <v>2020.4</v>
      </c>
      <c r="G500" s="67">
        <v>2020.1</v>
      </c>
      <c r="H500" s="18" t="s">
        <v>535</v>
      </c>
      <c r="I500" s="20" t="s">
        <v>1319</v>
      </c>
      <c r="J500" s="20">
        <v>1</v>
      </c>
      <c r="K500" s="20" t="s">
        <v>1116</v>
      </c>
      <c r="L500" s="34">
        <v>47</v>
      </c>
      <c r="M500" s="34">
        <v>28</v>
      </c>
      <c r="N500" s="34" t="s">
        <v>1320</v>
      </c>
    </row>
    <row r="501" ht="40.5" spans="1:14">
      <c r="A501" s="18">
        <v>539</v>
      </c>
      <c r="B501" s="20" t="s">
        <v>1321</v>
      </c>
      <c r="C501" s="118" t="s">
        <v>20</v>
      </c>
      <c r="D501" s="20" t="s">
        <v>97</v>
      </c>
      <c r="E501" s="20" t="s">
        <v>1322</v>
      </c>
      <c r="F501" s="20">
        <v>2020.4</v>
      </c>
      <c r="G501" s="20">
        <v>2020.8</v>
      </c>
      <c r="H501" s="20" t="s">
        <v>547</v>
      </c>
      <c r="I501" s="20" t="s">
        <v>1323</v>
      </c>
      <c r="J501" s="20">
        <v>40</v>
      </c>
      <c r="K501" s="20" t="s">
        <v>1116</v>
      </c>
      <c r="L501" s="20">
        <v>361</v>
      </c>
      <c r="M501" s="20">
        <v>1000</v>
      </c>
      <c r="N501" s="20" t="s">
        <v>1324</v>
      </c>
    </row>
    <row r="502" ht="27" spans="1:15">
      <c r="A502" s="18">
        <v>540</v>
      </c>
      <c r="B502" s="20" t="s">
        <v>1145</v>
      </c>
      <c r="C502" s="118" t="s">
        <v>20</v>
      </c>
      <c r="D502" s="119" t="s">
        <v>23</v>
      </c>
      <c r="E502" s="18" t="s">
        <v>717</v>
      </c>
      <c r="F502" s="119">
        <v>2020.4</v>
      </c>
      <c r="G502" s="119">
        <v>2020.12</v>
      </c>
      <c r="H502" s="67" t="s">
        <v>539</v>
      </c>
      <c r="I502" s="20" t="s">
        <v>1325</v>
      </c>
      <c r="J502" s="67">
        <v>66</v>
      </c>
      <c r="K502" s="20" t="s">
        <v>1116</v>
      </c>
      <c r="L502" s="67">
        <v>326</v>
      </c>
      <c r="M502" s="67">
        <v>1228</v>
      </c>
      <c r="N502" s="67" t="s">
        <v>1147</v>
      </c>
      <c r="O502" s="3"/>
    </row>
    <row r="503" spans="12:15">
      <c r="L503" s="3"/>
      <c r="M503" s="3"/>
      <c r="N503" s="125"/>
      <c r="O503" s="3"/>
    </row>
  </sheetData>
  <mergeCells count="21">
    <mergeCell ref="A1:C1"/>
    <mergeCell ref="A2:N2"/>
    <mergeCell ref="A3:N3"/>
    <mergeCell ref="F4:G4"/>
    <mergeCell ref="L4:M4"/>
    <mergeCell ref="A7:G7"/>
    <mergeCell ref="A66:G66"/>
    <mergeCell ref="B70:F70"/>
    <mergeCell ref="B153:G153"/>
    <mergeCell ref="A442:G442"/>
    <mergeCell ref="A445:G445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N4:N5"/>
  </mergeCells>
  <conditionalFormatting sqref="J157:J158">
    <cfRule type="cellIs" dxfId="0" priority="1" stopIfTrue="1" operator="equal">
      <formula>0</formula>
    </cfRule>
  </conditionalFormatting>
  <printOptions horizontalCentered="1"/>
  <pageMargins left="0.39" right="0.2" top="0.79" bottom="0.59" header="0.5" footer="0.5"/>
  <pageSetup paperSize="9" scale="5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忽然之间</cp:lastModifiedBy>
  <dcterms:created xsi:type="dcterms:W3CDTF">2020-11-19T09:25:00Z</dcterms:created>
  <dcterms:modified xsi:type="dcterms:W3CDTF">2020-11-20T00:39:27Z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